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895" tabRatio="622" activeTab="0"/>
  </bookViews>
  <sheets>
    <sheet name="krycí list" sheetId="1" r:id="rId1"/>
    <sheet name="SO100-KOMUNIKACE" sheetId="2" r:id="rId2"/>
    <sheet name="SO200-ZÁRUBNÍ ZÍDKA" sheetId="3" r:id="rId3"/>
    <sheet name="SO300-ODVODNĚNÍ" sheetId="4" r:id="rId4"/>
  </sheets>
  <definedNames/>
  <calcPr fullCalcOnLoad="1"/>
</workbook>
</file>

<file path=xl/sharedStrings.xml><?xml version="1.0" encoding="utf-8"?>
<sst xmlns="http://schemas.openxmlformats.org/spreadsheetml/2006/main" count="189" uniqueCount="111">
  <si>
    <t>Stavba :</t>
  </si>
  <si>
    <t>číslo a název SO: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</si>
  <si>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</si>
  <si>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</si>
  <si>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</si>
  <si>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</si>
  <si>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</si>
  <si>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</si>
  <si>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</si>
  <si>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</si>
  <si>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</si>
  <si>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</si>
  <si>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</si>
  <si>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</si>
  <si>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</si>
  <si>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</si>
  <si>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Všeobecné konstrukce a práce</t>
  </si>
  <si>
    <t>Zemní práce</t>
  </si>
  <si>
    <t xml:space="preserve">M3        </t>
  </si>
  <si>
    <t>03100</t>
  </si>
  <si>
    <t>KPL</t>
  </si>
  <si>
    <t>ZAŘÍZENÍ STAVENIŠTĚ - ZŘÍZENÍ, PROVOZ, DEMONTÁŽ 
zařízení staveniště, oplocení, výstražné značení
1=1</t>
  </si>
  <si>
    <t xml:space="preserve">03730 </t>
  </si>
  <si>
    <t>113322</t>
  </si>
  <si>
    <t>173103</t>
  </si>
  <si>
    <t xml:space="preserve">18120 </t>
  </si>
  <si>
    <t xml:space="preserve">M2         </t>
  </si>
  <si>
    <t>Komunikace</t>
  </si>
  <si>
    <t>M3</t>
  </si>
  <si>
    <t>574A03</t>
  </si>
  <si>
    <t>574E06</t>
  </si>
  <si>
    <t xml:space="preserve">572111 </t>
  </si>
  <si>
    <t>M2</t>
  </si>
  <si>
    <t>572211</t>
  </si>
  <si>
    <t>M</t>
  </si>
  <si>
    <t>SO 100 - Komunikace</t>
  </si>
  <si>
    <t>Úpravy povrchů, podlahy, výplně otvorů</t>
  </si>
  <si>
    <t>Ostatní konstrukce a práce</t>
  </si>
  <si>
    <t>SO 300 - Odvodnění</t>
  </si>
  <si>
    <t>SO</t>
  </si>
  <si>
    <t>Název objektu</t>
  </si>
  <si>
    <t>Cena bez DPH</t>
  </si>
  <si>
    <t>Celková cena bez DPH</t>
  </si>
  <si>
    <t>SO100</t>
  </si>
  <si>
    <t>SO300</t>
  </si>
  <si>
    <t>Odvodnění</t>
  </si>
  <si>
    <t>Celkem bez DPH</t>
  </si>
  <si>
    <t>Celkem s DPH 21%</t>
  </si>
  <si>
    <t>Cena s DPH 21%</t>
  </si>
  <si>
    <t>Zpracoval : Ing. Jiří Šklíba</t>
  </si>
  <si>
    <t>58920</t>
  </si>
  <si>
    <t>Soupis objektů stavby :</t>
  </si>
  <si>
    <t>Celková cena s DPH 21%</t>
  </si>
  <si>
    <t>Podrobné specifikace k obsahu jednotlivých položek jsou ke stažení na této adrese :</t>
  </si>
  <si>
    <t>POMOC PRÁCE ZAJIŠŤ NEBO ZŘÍZ OCHRANU INŽENÝRSKÝCH SÍTÍ 
vytyčení a ochrana stávajících inženýrských sítí
1=1</t>
  </si>
  <si>
    <t>113722</t>
  </si>
  <si>
    <t>KUS</t>
  </si>
  <si>
    <t>919112</t>
  </si>
  <si>
    <t>123932</t>
  </si>
  <si>
    <t>18230</t>
  </si>
  <si>
    <t>18241</t>
  </si>
  <si>
    <t>58221</t>
  </si>
  <si>
    <t>91743</t>
  </si>
  <si>
    <t>VPUSŤ KANALIZAČNÍ ULIČNÍ KOMPLETNÍ Z BETONOVÝCH DÍLCŮ
uliční vpusti UV1, UV2, UV3, UV4
4</t>
  </si>
  <si>
    <t>12110</t>
  </si>
  <si>
    <t>Položky jsou z aktuálního třídníku OTSKP-SPK</t>
  </si>
  <si>
    <t>OPRAVA KOMUNIKACE V UL. HŘBITOVNÍ, CHRASTAVA</t>
  </si>
  <si>
    <t>ODKOP PRO SPOD STAVBU SILNIC A ŽELEZNIC TŘ. III, ODVOZ DO 2KM
výkopu pro zárubní palisádovou zeď ve stávající zeleni, vč. skládkovného
chodník : 0,5*(40,1)=20,05</t>
  </si>
  <si>
    <t>ZEMNÍ KRAJNICE A DOSYPÁVKY SE ZHUT DO 100% PS 
dosypávky podél betonových obrub ze zeminy vhodné k násypu
0,2*(260*2)=104</t>
  </si>
  <si>
    <t>ASFALTOVÝ BETON PRO OBRUSNÉ VRSTVY ACO 11 
obrusný kryt asfaltové vozovky v tl. 40 mm
1033*0,04=41,32</t>
  </si>
  <si>
    <t>ASFALTOVÝ BETON PRO PODKLADNÍ VRSTVY ACP 16+, 16S 
podkladní asfaltová vrstva vozovky v tl. 70 mm
1033*0,07=52</t>
  </si>
  <si>
    <t>INFILTRAČNÍ POSTŘIK ASFALTOVÝ DO 0,5KG/M2 
infiltrační postřik mezi stávající podkladní vrstvu vozovky a vrstvu ACP 16+ a obetonováním propustku a ACO 11 u konstr. č. 4
1033=1033</t>
  </si>
  <si>
    <t>SPOJOVACÍ POSTŘIK Z ASFALTU DO 0,5KG/M2 
spojovací postřik mezi vrstvu ACP16+ a ACO 11
1033=1033</t>
  </si>
  <si>
    <t>58222</t>
  </si>
  <si>
    <t>113152</t>
  </si>
  <si>
    <t>ZALOŽENÍ TRÁVNÍKU RUČNÍM VÝSEVEM
založení trávníku na plochách s rozprostřenou ornicí
406=406</t>
  </si>
  <si>
    <t>ROZPROSTŘENÍ ORNICE V ROVINĚ
rozprostření sejmuté ornice v tl. 100 mm
40,6=40,6</t>
  </si>
  <si>
    <t>SEJMUTÍ ORNICE NEBO LESNÍ PŮDY
sejmutí ornice podél obrubníků v tl. 100 mm, bude uskladněna na deponii staveniště k opětovnému rozprostření
406*0,1=40,6</t>
  </si>
  <si>
    <t>577201</t>
  </si>
  <si>
    <t>VRSTVY PRO OBNOVU A OPRAVY Z RECYKLOVANÉHO MATERIÁLU
oprava příjezdů z asflatového recyklátu v tl. 50 mm
146*0,05=7,3</t>
  </si>
  <si>
    <t>CHODNÍKOVÉ OBRUBY Z KAMENNÝCH KRAJNÍKŮ
žulové krajníky KS3
26,66+20,20+8,85=55,71</t>
  </si>
  <si>
    <t>ŘEZÁNÍ ASFALTOVÉHO KRYTU VOZOVEK TL DO 100MM
6+4+10+5+10=35</t>
  </si>
  <si>
    <t>112012</t>
  </si>
  <si>
    <t>KÁCENÍ STROMŮ D KMENE DO 0,5M S ODSTRANĚNÍM PAŘEZŮ, ODVOZ DO 2KM</t>
  </si>
  <si>
    <t>917224</t>
  </si>
  <si>
    <t>SILNIČNÍ A CHODNÍKOVÉ OBRUBY Z BETONOVÝCH OBRUBNÍKŮ ŠÍŘ 150MM
přejízdný obrubník 300x300x500 se zkosením 1:2,5 (např. Best Ronda) - vjezd do garáže na pozemku 147</t>
  </si>
  <si>
    <t>SO 200 - Zárubní zídka</t>
  </si>
  <si>
    <t xml:space="preserve">HLOUBENÍ RÝH ŠÍŘ DO 2M PAŽ I NEPAŽ TŘ. III
hloubení základu pro zárunbí zídku
0,7*0,4*40,1=11,23
</t>
  </si>
  <si>
    <t>Svislé konstrukce</t>
  </si>
  <si>
    <t>ZDI OPĚR, ZÁRUB, NÁBŘEŽ Z DÍLCŮ BETON DO C20/25 XF4
zárubní zeď z betonových palisád 150x150 (či větších-dle druhu použitého výrobku) o výšce 0,6-1,2 m
35*0,15=4,20</t>
  </si>
  <si>
    <t>17411</t>
  </si>
  <si>
    <t xml:space="preserve">ZÁSYP JAM A RÝH ZEMINOU SE ZHUTNĚNÍM
zásyp prostoru za zdí z výkopku
0,3*40,1=12,03
</t>
  </si>
  <si>
    <t>HLOUBENÍ RÝH ŠÍŘ DO 2M PAŽ I NEPAŽ TŘ. III, ODVOZ DO 2KM
hloubení rýhy pro uložení drenáže + přípojky UV, vč. poplatku za skládku
drenáž: (52+25+78)*0,4*0,5=31
přípojky: (6,8+13,5)*0,4*0,5=4,06
celkem: 31+4,06=35,06</t>
  </si>
  <si>
    <t>POTRUBÍ DREN Z TRUB PLAST (I FLEXIBIL) DN DO 100MM DĚROVANÝCH
flexibilní děrovaná drenáž, vč. obsypu a vrstvy podkladního písku - viz. průvodní zpráva
(52+25+78)=155</t>
  </si>
  <si>
    <t>PLASTOVÁ ODBOČKA DN100
odbočka pro zaústění drenáže do výtoku ze vpustí
4</t>
  </si>
  <si>
    <t>POTRUBÍ Z TRUB PLASTOVÝCH ODPADNÍCH DN DO 150MM
přípojky přemístěných vpustí, včetně zásypu, a zaůstění do šachet rekonstruované kamalizace
přípojky: (6,8+13,5)=20,3</t>
  </si>
  <si>
    <t>SO200</t>
  </si>
  <si>
    <t>Zárubní zídka</t>
  </si>
  <si>
    <t>http://tridniky.cz/PDF/OTSKP_2018_III.pdf</t>
  </si>
  <si>
    <t>ODSTRANĚNÍ KRYTU ZPEVNĚNÝCH PLOCH Z BETONU, ODVOZ DO 2KM
odebrání betonu do stávajících vjezdů do hl. 10-15 cm pro nové betonové lože
12*0,15=1,95</t>
  </si>
  <si>
    <t>DLÁŽDĚNÉ KRYTY Z DROBNÝCH KOSTEK DO LOŽE Z KAMENIVA
žulová vozovka - žulové kostky vel. 8/10 do lože z kameniva 4/8 tl. 50 mm
239=239</t>
  </si>
  <si>
    <t>VÝPLŇ SPAR MODIFIKOVANÝM ASFALTEM
Provedení dilatčních spár mezi asfaltovým krytem a dlážděnými krajnicemi
240*2=480</t>
  </si>
  <si>
    <t>VOZOVKOVÉ VRSTVY ZE ŠTĚRKODRTI 
konstrukční vrstvy asfaltové a dlážděné vozovky, štěrkodrť ŠDa frakce 0-63
asfaltová vozovka : (0,15+0,15)*(1033-408)=187,50
dlážděná vozovka : (0,15+0,15)*239=71,7
betonová přídlažba : (0,15+0,15)*124=37,2
betonový žlab : (0,15+0,15)*79=23,7
celkem: (187,50+71,7+37,2+23,7)*1,1=333,86</t>
  </si>
  <si>
    <t>VOZOVKOVÉ VÝZTUŽNÉ VRSTVY Z GEOMŘÍŽOVINY
dvouosá výztužná geomříž s tkaninou mezi vrstvou ACP a ŠD
(50+4)+(17+4)+(140+4)+(5)=224</t>
  </si>
  <si>
    <t>57475</t>
  </si>
  <si>
    <t>DLÁŽDĚNÉ KRYTY Z DROBNÝCH KOSTEK DO LOŽE Z MC
žulová vozovka - žulové kostky vel. 8/10 do lože z betonu C20/25 XF4, tl. 50 mm
betonová přídlažba : 124
betonový žlab : 79
vjezdy : 13
celkem : 107+79+13=216</t>
  </si>
  <si>
    <t xml:space="preserve">ODSTRAN PODKL VOZOVEK A CHODNÍKŮ Z KAMENIVA NESTMEL, ODVOZ DO 2KM 
Odebrání původní konstrukce do hl. 41 cm v místě pokládky plynovodu a vodovodu, včetně poplatku za skládku
asfaltová vozovka : 0,30*(1033-408)=187,50
dlážděná vozovka : 0,30*239=71,7
celkem: 187,50+71,70=259,20
</t>
  </si>
  <si>
    <t>ÚPRAVA PLÁNĚ SE ZHUTNĚNÍM V HORNINĚ TŘ. II 
úprava pláně včetně vyrovnání výškových rozdílů. Míru zhutnění určuje projekt - viz. výkr. C.102. Včetně hutnících zkoušek v počtu 5.
asfaltová vozovka - plná konstrukce : 1033=1033
dlážděná vozovka :239=239
betonová přídlažba : 124=124
betonový žlab :79=79
vjezdy: 13=13
Celkem : 1033+239+124+79+13=1488</t>
  </si>
  <si>
    <t>VRSTVY PRO OBNOVU, OPRAVY - INFILTRAČ POSTŘIK
infiltrační potřik - napojovací úseky s povrchem z asfaltového recyklátu
146=146</t>
  </si>
  <si>
    <t>FRÉZOVÁNÍ ZPEVNĚNÝCH PLOCH ASFALTOVÝCH, ODVOZ DO 2KM
frézování stáv. vozovky do tl. 11 cm (bude upřesněno při realizaci), vč. poplatku za recyklaci
asfaltová vozovka : 0,11*1033=113,63
dlážděná vozovka : 0,11*239=26,29
celkem : 113,63+26,29=139,92</t>
  </si>
  <si>
    <t>soutěžní výkaz výměr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</si>
</sst>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49" fontId="0" fillId="0" borderId="11" xfId="0" applyNumberFormat="1" applyBorder="1" applyAlignment="1">
      <alignment horizontal="right" vertical="top"/>
    </xf>
    <xf numFmtId="49" fontId="2" fillId="0" borderId="11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9" fontId="0" fillId="0" borderId="13" xfId="0" applyNumberFormat="1" applyFont="1" applyBorder="1" applyAlignment="1">
      <alignment horizontal="right" vertical="top"/>
    </xf>
    <xf numFmtId="49" fontId="0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0" fillId="0" borderId="13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49" fontId="1" fillId="0" borderId="19" xfId="0" applyNumberFormat="1" applyFont="1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Fill="1" applyBorder="1" applyAlignment="1">
      <alignment wrapText="1"/>
    </xf>
    <xf numFmtId="49" fontId="0" fillId="0" borderId="19" xfId="0" applyNumberFormat="1" applyBorder="1" applyAlignment="1">
      <alignment horizontal="right" vertical="top"/>
    </xf>
    <xf numFmtId="0" fontId="1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49" fontId="0" fillId="0" borderId="20" xfId="0" applyNumberForma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4" fontId="0" fillId="0" borderId="13" xfId="0" applyNumberFormat="1" applyBorder="1" applyAlignment="1">
      <alignment horizontal="right" vertical="top"/>
    </xf>
    <xf numFmtId="0" fontId="0" fillId="0" borderId="13" xfId="0" applyFont="1" applyBorder="1" applyAlignment="1">
      <alignment horizontal="right" vertical="top" wrapText="1"/>
    </xf>
    <xf numFmtId="0" fontId="0" fillId="0" borderId="20" xfId="0" applyBorder="1" applyAlignment="1">
      <alignment horizontal="right" vertical="top"/>
    </xf>
    <xf numFmtId="49" fontId="2" fillId="0" borderId="23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0" fontId="0" fillId="0" borderId="23" xfId="0" applyBorder="1" applyAlignment="1">
      <alignment horizontal="right" vertical="top"/>
    </xf>
    <xf numFmtId="44" fontId="1" fillId="0" borderId="0" xfId="0" applyNumberFormat="1" applyFont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0" fillId="0" borderId="14" xfId="0" applyNumberFormat="1" applyBorder="1" applyAlignment="1">
      <alignment horizontal="right" vertical="top"/>
    </xf>
    <xf numFmtId="44" fontId="2" fillId="0" borderId="14" xfId="0" applyNumberFormat="1" applyFont="1" applyBorder="1" applyAlignment="1">
      <alignment horizontal="right" vertical="top"/>
    </xf>
    <xf numFmtId="44" fontId="0" fillId="0" borderId="14" xfId="0" applyNumberFormat="1" applyBorder="1" applyAlignment="1">
      <alignment horizontal="right" vertical="top" wrapText="1"/>
    </xf>
    <xf numFmtId="44" fontId="1" fillId="0" borderId="14" xfId="0" applyNumberFormat="1" applyFont="1" applyBorder="1" applyAlignment="1">
      <alignment horizontal="right" vertical="top"/>
    </xf>
    <xf numFmtId="44" fontId="0" fillId="0" borderId="26" xfId="0" applyNumberFormat="1" applyBorder="1" applyAlignment="1">
      <alignment horizontal="right" vertical="top"/>
    </xf>
    <xf numFmtId="44" fontId="1" fillId="0" borderId="27" xfId="0" applyNumberFormat="1" applyFont="1" applyBorder="1" applyAlignment="1">
      <alignment horizontal="right" vertical="top"/>
    </xf>
    <xf numFmtId="44" fontId="1" fillId="0" borderId="28" xfId="0" applyNumberFormat="1" applyFont="1" applyBorder="1" applyAlignment="1">
      <alignment horizontal="right" vertical="top"/>
    </xf>
    <xf numFmtId="44" fontId="1" fillId="0" borderId="26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44" fontId="0" fillId="0" borderId="17" xfId="0" applyNumberFormat="1" applyFont="1" applyBorder="1" applyAlignment="1">
      <alignment horizontal="center" vertical="top"/>
    </xf>
    <xf numFmtId="44" fontId="0" fillId="0" borderId="29" xfId="0" applyNumberFormat="1" applyBorder="1" applyAlignment="1">
      <alignment/>
    </xf>
    <xf numFmtId="44" fontId="1" fillId="0" borderId="28" xfId="0" applyNumberFormat="1" applyFont="1" applyBorder="1" applyAlignment="1">
      <alignment/>
    </xf>
    <xf numFmtId="44" fontId="1" fillId="0" borderId="26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19" xfId="0" applyNumberFormat="1" applyBorder="1" applyAlignment="1">
      <alignment horizontal="right" vertical="top"/>
    </xf>
    <xf numFmtId="0" fontId="0" fillId="0" borderId="19" xfId="0" applyBorder="1" applyAlignment="1">
      <alignment horizontal="left" vertical="top" wrapText="1"/>
    </xf>
    <xf numFmtId="49" fontId="0" fillId="0" borderId="30" xfId="0" applyNumberFormat="1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7" fillId="0" borderId="0" xfId="36" applyAlignment="1">
      <alignment/>
    </xf>
    <xf numFmtId="0" fontId="0" fillId="0" borderId="31" xfId="0" applyFont="1" applyBorder="1" applyAlignment="1">
      <alignment horizontal="center" vertical="top"/>
    </xf>
    <xf numFmtId="49" fontId="0" fillId="0" borderId="32" xfId="0" applyNumberFormat="1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49" fontId="0" fillId="0" borderId="34" xfId="0" applyNumberFormat="1" applyFont="1" applyBorder="1" applyAlignment="1">
      <alignment horizontal="right" vertical="top"/>
    </xf>
    <xf numFmtId="49" fontId="2" fillId="0" borderId="34" xfId="0" applyNumberFormat="1" applyFont="1" applyBorder="1" applyAlignment="1">
      <alignment vertical="top"/>
    </xf>
    <xf numFmtId="0" fontId="0" fillId="0" borderId="34" xfId="0" applyFont="1" applyBorder="1" applyAlignment="1">
      <alignment horizontal="right" vertical="top"/>
    </xf>
    <xf numFmtId="4" fontId="0" fillId="0" borderId="34" xfId="0" applyNumberFormat="1" applyBorder="1" applyAlignment="1">
      <alignment horizontal="right" vertical="top"/>
    </xf>
    <xf numFmtId="44" fontId="0" fillId="0" borderId="35" xfId="0" applyNumberFormat="1" applyBorder="1" applyAlignment="1">
      <alignment horizontal="right" vertical="top"/>
    </xf>
    <xf numFmtId="0" fontId="0" fillId="0" borderId="30" xfId="0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8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idniky.cz/PDF/OTSKP_2018_III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28.00390625" style="0" customWidth="1"/>
    <col min="3" max="3" width="16.140625" style="0" customWidth="1"/>
    <col min="4" max="4" width="17.140625" style="0" customWidth="1"/>
  </cols>
  <sheetData>
    <row r="1" ht="21">
      <c r="A1" s="70" t="s">
        <v>66</v>
      </c>
    </row>
    <row r="2" ht="21.75" customHeight="1">
      <c r="A2" s="65" t="s">
        <v>110</v>
      </c>
    </row>
    <row r="3" ht="15.75">
      <c r="A3" s="55" t="s">
        <v>49</v>
      </c>
    </row>
    <row r="5" spans="1:4" ht="15.75">
      <c r="A5" s="55" t="s">
        <v>42</v>
      </c>
      <c r="B5" s="55"/>
      <c r="C5" s="55"/>
      <c r="D5" s="56">
        <f>SUM(C9:C11)</f>
        <v>0</v>
      </c>
    </row>
    <row r="6" spans="1:4" ht="15.75">
      <c r="A6" s="55" t="s">
        <v>52</v>
      </c>
      <c r="B6" s="55"/>
      <c r="C6" s="55"/>
      <c r="D6" s="56">
        <f>SUM(D9:D11)</f>
        <v>0</v>
      </c>
    </row>
    <row r="7" ht="42" customHeight="1">
      <c r="A7" s="55" t="s">
        <v>51</v>
      </c>
    </row>
    <row r="8" spans="1:4" ht="15">
      <c r="A8" t="s">
        <v>39</v>
      </c>
      <c r="B8" t="s">
        <v>40</v>
      </c>
      <c r="C8" t="s">
        <v>41</v>
      </c>
      <c r="D8" t="s">
        <v>48</v>
      </c>
    </row>
    <row r="9" spans="1:4" ht="15">
      <c r="A9" t="s">
        <v>43</v>
      </c>
      <c r="B9" t="s">
        <v>27</v>
      </c>
      <c r="C9" s="54">
        <f>'SO100-KOMUNIKACE'!G42</f>
        <v>0</v>
      </c>
      <c r="D9" s="54">
        <f>C9*1.21</f>
        <v>0</v>
      </c>
    </row>
    <row r="10" spans="1:4" ht="15">
      <c r="A10" t="s">
        <v>96</v>
      </c>
      <c r="B10" t="s">
        <v>97</v>
      </c>
      <c r="C10" s="54">
        <f>'SO200-ZÁRUBNÍ ZÍDKA'!G15</f>
        <v>0</v>
      </c>
      <c r="D10" s="54">
        <f>C10*1.21</f>
        <v>0</v>
      </c>
    </row>
    <row r="11" spans="1:4" ht="15">
      <c r="A11" t="s">
        <v>44</v>
      </c>
      <c r="B11" t="s">
        <v>45</v>
      </c>
      <c r="C11" s="54">
        <f>'SO300-ODVODNĚNÍ'!G16</f>
        <v>0</v>
      </c>
      <c r="D11" s="54">
        <f>C11*1.21</f>
        <v>0</v>
      </c>
    </row>
    <row r="14" ht="15">
      <c r="A14" t="s">
        <v>65</v>
      </c>
    </row>
    <row r="15" ht="15">
      <c r="A15" t="s">
        <v>53</v>
      </c>
    </row>
    <row r="16" ht="15">
      <c r="A16" s="75" t="s">
        <v>98</v>
      </c>
    </row>
  </sheetData>
  <sheetProtection/>
  <hyperlinks>
    <hyperlink ref="A16" r:id="rId1" display="http://tridniky.cz/PDF/OTSKP_2018_III.pdf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F7" sqref="F7:F40"/>
    </sheetView>
  </sheetViews>
  <sheetFormatPr defaultColWidth="9.140625" defaultRowHeight="15"/>
  <cols>
    <col min="3" max="3" width="55.140625" style="0" customWidth="1"/>
    <col min="4" max="4" width="8.7109375" style="0" customWidth="1"/>
    <col min="6" max="6" width="14.8515625" style="0" customWidth="1"/>
    <col min="7" max="7" width="15.7109375" style="0" customWidth="1"/>
  </cols>
  <sheetData>
    <row r="1" spans="1:7" ht="15">
      <c r="A1" s="3" t="s">
        <v>0</v>
      </c>
      <c r="B1" s="2"/>
      <c r="C1" s="4" t="s">
        <v>66</v>
      </c>
      <c r="D1" s="1"/>
      <c r="E1" s="1"/>
      <c r="F1" s="1"/>
      <c r="G1" s="1"/>
    </row>
    <row r="2" spans="1:7" ht="15.75" thickBot="1">
      <c r="A2" s="3" t="s">
        <v>1</v>
      </c>
      <c r="B2" s="2"/>
      <c r="C2" s="4" t="s">
        <v>35</v>
      </c>
      <c r="D2" s="1"/>
      <c r="E2" s="1"/>
      <c r="F2" s="1"/>
      <c r="G2" s="1"/>
    </row>
    <row r="3" spans="1:7" ht="1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7" t="s">
        <v>7</v>
      </c>
      <c r="G3" s="87"/>
    </row>
    <row r="4" spans="1:7" ht="1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7" ht="15">
      <c r="A6" s="41"/>
      <c r="B6" s="16"/>
      <c r="C6" s="17" t="s">
        <v>16</v>
      </c>
      <c r="D6" s="18"/>
      <c r="E6" s="19"/>
      <c r="F6" s="19"/>
      <c r="G6" s="20"/>
    </row>
    <row r="7" spans="1:7" ht="45">
      <c r="A7" s="42">
        <v>1</v>
      </c>
      <c r="B7" s="21" t="s">
        <v>19</v>
      </c>
      <c r="C7" s="22" t="s">
        <v>21</v>
      </c>
      <c r="D7" s="47" t="s">
        <v>20</v>
      </c>
      <c r="E7" s="48">
        <v>1</v>
      </c>
      <c r="F7" s="48"/>
      <c r="G7" s="57">
        <f>E7*F7</f>
        <v>0</v>
      </c>
    </row>
    <row r="8" spans="1:7" ht="60">
      <c r="A8" s="42">
        <f>A7+1</f>
        <v>2</v>
      </c>
      <c r="B8" s="21" t="s">
        <v>22</v>
      </c>
      <c r="C8" s="22" t="s">
        <v>54</v>
      </c>
      <c r="D8" s="47" t="s">
        <v>20</v>
      </c>
      <c r="E8" s="48">
        <v>1</v>
      </c>
      <c r="F8" s="48"/>
      <c r="G8" s="57">
        <f>E8*F8</f>
        <v>0</v>
      </c>
    </row>
    <row r="9" spans="1:7" ht="15">
      <c r="A9" s="42"/>
      <c r="B9" s="21"/>
      <c r="C9" s="23" t="s">
        <v>16</v>
      </c>
      <c r="D9" s="47"/>
      <c r="E9" s="48"/>
      <c r="F9" s="48"/>
      <c r="G9" s="58">
        <f>SUM(G7:G8)</f>
        <v>0</v>
      </c>
    </row>
    <row r="10" spans="1:7" ht="15">
      <c r="A10" s="76"/>
      <c r="B10" s="77"/>
      <c r="C10" s="77"/>
      <c r="D10" s="78"/>
      <c r="E10" s="78"/>
      <c r="F10" s="78"/>
      <c r="G10" s="79"/>
    </row>
    <row r="11" spans="1:7" ht="15">
      <c r="A11" s="38"/>
      <c r="B11" s="80"/>
      <c r="C11" s="81" t="s">
        <v>17</v>
      </c>
      <c r="D11" s="82"/>
      <c r="E11" s="83"/>
      <c r="F11" s="83"/>
      <c r="G11" s="84"/>
    </row>
    <row r="12" spans="1:7" ht="30">
      <c r="A12" s="42"/>
      <c r="B12" s="21" t="s">
        <v>82</v>
      </c>
      <c r="C12" s="22" t="s">
        <v>83</v>
      </c>
      <c r="D12" s="47" t="s">
        <v>56</v>
      </c>
      <c r="E12" s="48">
        <v>10</v>
      </c>
      <c r="F12" s="48"/>
      <c r="G12" s="59">
        <f>E12*F12</f>
        <v>0</v>
      </c>
    </row>
    <row r="13" spans="1:7" ht="105" customHeight="1">
      <c r="A13" s="42">
        <f>A8+1</f>
        <v>3</v>
      </c>
      <c r="B13" s="21" t="s">
        <v>23</v>
      </c>
      <c r="C13" s="22" t="s">
        <v>106</v>
      </c>
      <c r="D13" s="49" t="s">
        <v>18</v>
      </c>
      <c r="E13" s="48">
        <f>0.3*(1033-408)+0.3*239</f>
        <v>259.2</v>
      </c>
      <c r="F13" s="48"/>
      <c r="G13" s="59">
        <f aca="true" t="shared" si="0" ref="G13:G34">E13*F13</f>
        <v>0</v>
      </c>
    </row>
    <row r="14" spans="1:7" ht="103.5" customHeight="1">
      <c r="A14" s="42">
        <f aca="true" t="shared" si="1" ref="A14:A20">A13+1</f>
        <v>4</v>
      </c>
      <c r="B14" s="21" t="s">
        <v>55</v>
      </c>
      <c r="C14" s="22" t="s">
        <v>109</v>
      </c>
      <c r="D14" s="49" t="s">
        <v>18</v>
      </c>
      <c r="E14" s="48">
        <f>0.11*1033+0.11*239</f>
        <v>139.92</v>
      </c>
      <c r="F14" s="48"/>
      <c r="G14" s="59">
        <f t="shared" si="0"/>
        <v>0</v>
      </c>
    </row>
    <row r="15" spans="1:7" ht="60">
      <c r="A15" s="42">
        <f t="shared" si="1"/>
        <v>5</v>
      </c>
      <c r="B15" s="21" t="s">
        <v>24</v>
      </c>
      <c r="C15" s="24" t="s">
        <v>68</v>
      </c>
      <c r="D15" s="49" t="s">
        <v>18</v>
      </c>
      <c r="E15" s="48">
        <f>0.2*260*2</f>
        <v>104</v>
      </c>
      <c r="F15" s="48"/>
      <c r="G15" s="57">
        <f t="shared" si="0"/>
        <v>0</v>
      </c>
    </row>
    <row r="16" spans="1:7" ht="154.5" customHeight="1">
      <c r="A16" s="42">
        <f t="shared" si="1"/>
        <v>6</v>
      </c>
      <c r="B16" s="21" t="s">
        <v>25</v>
      </c>
      <c r="C16" s="22" t="s">
        <v>107</v>
      </c>
      <c r="D16" s="49" t="s">
        <v>26</v>
      </c>
      <c r="E16" s="48">
        <f>1033+239+124+79+13</f>
        <v>1488</v>
      </c>
      <c r="F16" s="48"/>
      <c r="G16" s="57">
        <f t="shared" si="0"/>
        <v>0</v>
      </c>
    </row>
    <row r="17" spans="1:7" ht="91.5" customHeight="1">
      <c r="A17" s="42">
        <f t="shared" si="1"/>
        <v>7</v>
      </c>
      <c r="B17" s="21" t="s">
        <v>74</v>
      </c>
      <c r="C17" s="22" t="s">
        <v>99</v>
      </c>
      <c r="D17" s="49" t="s">
        <v>18</v>
      </c>
      <c r="E17" s="48">
        <f>13*0.15</f>
        <v>1.95</v>
      </c>
      <c r="F17" s="48"/>
      <c r="G17" s="57">
        <f t="shared" si="0"/>
        <v>0</v>
      </c>
    </row>
    <row r="18" spans="1:7" ht="66.75" customHeight="1">
      <c r="A18" s="42">
        <f t="shared" si="1"/>
        <v>8</v>
      </c>
      <c r="B18" s="21" t="s">
        <v>64</v>
      </c>
      <c r="C18" s="22" t="s">
        <v>77</v>
      </c>
      <c r="D18" s="49" t="s">
        <v>18</v>
      </c>
      <c r="E18" s="48">
        <v>40.6</v>
      </c>
      <c r="F18" s="48"/>
      <c r="G18" s="57">
        <f>E18*F18</f>
        <v>0</v>
      </c>
    </row>
    <row r="19" spans="1:7" ht="45">
      <c r="A19" s="42">
        <f t="shared" si="1"/>
        <v>9</v>
      </c>
      <c r="B19" s="21" t="s">
        <v>59</v>
      </c>
      <c r="C19" s="22" t="s">
        <v>76</v>
      </c>
      <c r="D19" s="49" t="s">
        <v>18</v>
      </c>
      <c r="E19" s="48">
        <v>40.6</v>
      </c>
      <c r="F19" s="48"/>
      <c r="G19" s="57">
        <f t="shared" si="0"/>
        <v>0</v>
      </c>
    </row>
    <row r="20" spans="1:7" ht="45">
      <c r="A20" s="42">
        <f t="shared" si="1"/>
        <v>10</v>
      </c>
      <c r="B20" s="21" t="s">
        <v>60</v>
      </c>
      <c r="C20" s="22" t="s">
        <v>75</v>
      </c>
      <c r="D20" s="49" t="s">
        <v>26</v>
      </c>
      <c r="E20" s="48">
        <v>406</v>
      </c>
      <c r="F20" s="48"/>
      <c r="G20" s="57">
        <f t="shared" si="0"/>
        <v>0</v>
      </c>
    </row>
    <row r="21" spans="1:7" ht="15">
      <c r="A21" s="42"/>
      <c r="B21" s="21"/>
      <c r="C21" s="23" t="s">
        <v>17</v>
      </c>
      <c r="D21" s="49"/>
      <c r="E21" s="48"/>
      <c r="F21" s="48"/>
      <c r="G21" s="60">
        <f>SUM(G12:G20)</f>
        <v>0</v>
      </c>
    </row>
    <row r="22" spans="1:7" ht="15">
      <c r="A22" s="42"/>
      <c r="B22" s="21"/>
      <c r="C22" s="23"/>
      <c r="D22" s="49"/>
      <c r="E22" s="48"/>
      <c r="F22" s="48"/>
      <c r="G22" s="60"/>
    </row>
    <row r="23" spans="1:7" ht="15">
      <c r="A23" s="38"/>
      <c r="B23" s="39"/>
      <c r="C23" s="26" t="s">
        <v>27</v>
      </c>
      <c r="D23" s="49"/>
      <c r="E23" s="39"/>
      <c r="F23" s="39"/>
      <c r="G23" s="61"/>
    </row>
    <row r="24" spans="1:7" ht="120">
      <c r="A24" s="38">
        <f>A20+1</f>
        <v>11</v>
      </c>
      <c r="B24" s="39">
        <v>56330</v>
      </c>
      <c r="C24" s="27" t="s">
        <v>102</v>
      </c>
      <c r="D24" s="49" t="s">
        <v>28</v>
      </c>
      <c r="E24" s="71">
        <f>1.1*((0.15+0.15)*(1033-408)+(0.15+0.15)*239+(0.15+0.15)*124+(0.15+0.15)*23.7)</f>
        <v>333.861</v>
      </c>
      <c r="F24" s="39"/>
      <c r="G24" s="57">
        <f t="shared" si="0"/>
        <v>0</v>
      </c>
    </row>
    <row r="25" spans="1:7" ht="60">
      <c r="A25" s="42">
        <f aca="true" t="shared" si="2" ref="A25:A34">A24+1</f>
        <v>12</v>
      </c>
      <c r="B25" s="39">
        <v>567306</v>
      </c>
      <c r="C25" s="72" t="s">
        <v>79</v>
      </c>
      <c r="D25" s="49" t="s">
        <v>28</v>
      </c>
      <c r="E25" s="71">
        <f>146*0.05</f>
        <v>7.300000000000001</v>
      </c>
      <c r="F25" s="39"/>
      <c r="G25" s="57">
        <f>E25*F25</f>
        <v>0</v>
      </c>
    </row>
    <row r="26" spans="1:7" ht="45">
      <c r="A26" s="42">
        <f t="shared" si="2"/>
        <v>13</v>
      </c>
      <c r="B26" s="39" t="s">
        <v>29</v>
      </c>
      <c r="C26" s="27" t="s">
        <v>69</v>
      </c>
      <c r="D26" s="49" t="s">
        <v>28</v>
      </c>
      <c r="E26" s="39">
        <f>1033*0.04</f>
        <v>41.32</v>
      </c>
      <c r="F26" s="39"/>
      <c r="G26" s="57">
        <f t="shared" si="0"/>
        <v>0</v>
      </c>
    </row>
    <row r="27" spans="1:7" ht="45">
      <c r="A27" s="42">
        <f t="shared" si="2"/>
        <v>14</v>
      </c>
      <c r="B27" s="35" t="s">
        <v>30</v>
      </c>
      <c r="C27" s="27" t="s">
        <v>70</v>
      </c>
      <c r="D27" s="49" t="s">
        <v>28</v>
      </c>
      <c r="E27" s="39">
        <f>1033*0.07</f>
        <v>72.31</v>
      </c>
      <c r="F27" s="39"/>
      <c r="G27" s="57">
        <f t="shared" si="0"/>
        <v>0</v>
      </c>
    </row>
    <row r="28" spans="1:7" ht="75">
      <c r="A28" s="42">
        <f t="shared" si="2"/>
        <v>15</v>
      </c>
      <c r="B28" s="35" t="s">
        <v>31</v>
      </c>
      <c r="C28" s="72" t="s">
        <v>71</v>
      </c>
      <c r="D28" s="49" t="s">
        <v>32</v>
      </c>
      <c r="E28" s="39">
        <v>1033</v>
      </c>
      <c r="F28" s="39"/>
      <c r="G28" s="57">
        <f t="shared" si="0"/>
        <v>0</v>
      </c>
    </row>
    <row r="29" spans="1:7" ht="45">
      <c r="A29" s="42">
        <f t="shared" si="2"/>
        <v>16</v>
      </c>
      <c r="B29" s="35" t="s">
        <v>33</v>
      </c>
      <c r="C29" s="27" t="s">
        <v>72</v>
      </c>
      <c r="D29" s="49" t="s">
        <v>32</v>
      </c>
      <c r="E29" s="39">
        <v>1033</v>
      </c>
      <c r="F29" s="39"/>
      <c r="G29" s="57">
        <f t="shared" si="0"/>
        <v>0</v>
      </c>
    </row>
    <row r="30" spans="1:7" ht="45">
      <c r="A30" s="42">
        <f t="shared" si="2"/>
        <v>17</v>
      </c>
      <c r="B30" s="35" t="s">
        <v>104</v>
      </c>
      <c r="C30" s="27" t="s">
        <v>103</v>
      </c>
      <c r="D30" s="49" t="s">
        <v>32</v>
      </c>
      <c r="E30" s="39">
        <f>(50+4)+(17+4)+(140+4)+(5)</f>
        <v>224</v>
      </c>
      <c r="F30" s="39"/>
      <c r="G30" s="57">
        <f>E30*F30</f>
        <v>0</v>
      </c>
    </row>
    <row r="31" spans="1:7" ht="60">
      <c r="A31" s="42">
        <f t="shared" si="2"/>
        <v>18</v>
      </c>
      <c r="B31" s="35" t="s">
        <v>78</v>
      </c>
      <c r="C31" s="27" t="s">
        <v>108</v>
      </c>
      <c r="D31" s="49" t="s">
        <v>32</v>
      </c>
      <c r="E31" s="39">
        <v>146</v>
      </c>
      <c r="F31" s="39"/>
      <c r="G31" s="57">
        <f>E31*F31</f>
        <v>0</v>
      </c>
    </row>
    <row r="32" spans="1:7" ht="75">
      <c r="A32" s="42">
        <f t="shared" si="2"/>
        <v>19</v>
      </c>
      <c r="B32" s="35" t="s">
        <v>61</v>
      </c>
      <c r="C32" s="72" t="s">
        <v>100</v>
      </c>
      <c r="D32" s="39" t="s">
        <v>32</v>
      </c>
      <c r="E32" s="39">
        <v>239</v>
      </c>
      <c r="F32" s="39"/>
      <c r="G32" s="57">
        <f t="shared" si="0"/>
        <v>0</v>
      </c>
    </row>
    <row r="33" spans="1:7" ht="111" customHeight="1">
      <c r="A33" s="42">
        <f t="shared" si="2"/>
        <v>20</v>
      </c>
      <c r="B33" s="35" t="s">
        <v>73</v>
      </c>
      <c r="C33" s="72" t="s">
        <v>105</v>
      </c>
      <c r="D33" s="39" t="s">
        <v>32</v>
      </c>
      <c r="E33" s="39">
        <f>124+79+13</f>
        <v>216</v>
      </c>
      <c r="F33" s="39"/>
      <c r="G33" s="57">
        <f>E33*F33</f>
        <v>0</v>
      </c>
    </row>
    <row r="34" spans="1:7" ht="60">
      <c r="A34" s="42">
        <f t="shared" si="2"/>
        <v>21</v>
      </c>
      <c r="B34" s="35" t="s">
        <v>50</v>
      </c>
      <c r="C34" s="27" t="s">
        <v>101</v>
      </c>
      <c r="D34" s="39" t="s">
        <v>34</v>
      </c>
      <c r="E34" s="39">
        <f>240*2</f>
        <v>480</v>
      </c>
      <c r="F34" s="39"/>
      <c r="G34" s="57">
        <f t="shared" si="0"/>
        <v>0</v>
      </c>
    </row>
    <row r="35" spans="1:7" ht="15">
      <c r="A35" s="38"/>
      <c r="B35" s="35"/>
      <c r="C35" s="26" t="s">
        <v>27</v>
      </c>
      <c r="D35" s="40"/>
      <c r="E35" s="40"/>
      <c r="F35" s="40"/>
      <c r="G35" s="60">
        <f>SUM(G24:G34)</f>
        <v>0</v>
      </c>
    </row>
    <row r="36" spans="1:7" ht="15">
      <c r="A36" s="38"/>
      <c r="B36" s="35"/>
      <c r="C36" s="29"/>
      <c r="D36" s="40"/>
      <c r="E36" s="40"/>
      <c r="F36" s="40"/>
      <c r="G36" s="60"/>
    </row>
    <row r="37" spans="1:7" ht="15">
      <c r="A37" s="38"/>
      <c r="B37" s="35"/>
      <c r="C37" s="29" t="s">
        <v>37</v>
      </c>
      <c r="D37" s="39"/>
      <c r="E37" s="39"/>
      <c r="F37" s="39"/>
      <c r="G37" s="57"/>
    </row>
    <row r="38" spans="1:7" ht="60">
      <c r="A38" s="38">
        <f>A34+1</f>
        <v>22</v>
      </c>
      <c r="B38" s="35" t="s">
        <v>84</v>
      </c>
      <c r="C38" s="27" t="s">
        <v>85</v>
      </c>
      <c r="D38" s="39" t="s">
        <v>34</v>
      </c>
      <c r="E38" s="39">
        <v>3</v>
      </c>
      <c r="F38" s="39"/>
      <c r="G38" s="57">
        <f>E38*F38</f>
        <v>0</v>
      </c>
    </row>
    <row r="39" spans="1:7" ht="45">
      <c r="A39" s="42">
        <f>A38+1</f>
        <v>23</v>
      </c>
      <c r="B39" s="35" t="s">
        <v>62</v>
      </c>
      <c r="C39" s="27" t="s">
        <v>80</v>
      </c>
      <c r="D39" s="39" t="s">
        <v>34</v>
      </c>
      <c r="E39" s="39">
        <f>26.66+20.2+8.85</f>
        <v>55.71</v>
      </c>
      <c r="F39" s="39"/>
      <c r="G39" s="57">
        <f>E39*F39</f>
        <v>0</v>
      </c>
    </row>
    <row r="40" spans="1:7" ht="36.75" customHeight="1">
      <c r="A40" s="42">
        <f>A39+1</f>
        <v>24</v>
      </c>
      <c r="B40" s="73" t="s">
        <v>57</v>
      </c>
      <c r="C40" s="85" t="s">
        <v>81</v>
      </c>
      <c r="D40" s="74" t="s">
        <v>34</v>
      </c>
      <c r="E40" s="74">
        <f>6+4+10+5+10</f>
        <v>35</v>
      </c>
      <c r="F40" s="74"/>
      <c r="G40" s="57">
        <f>E40*F40</f>
        <v>0</v>
      </c>
    </row>
    <row r="41" spans="1:7" ht="15.75" thickBot="1">
      <c r="A41" s="43"/>
      <c r="B41" s="44"/>
      <c r="C41" s="31" t="s">
        <v>37</v>
      </c>
      <c r="D41" s="50"/>
      <c r="E41" s="50"/>
      <c r="F41" s="50"/>
      <c r="G41" s="62">
        <f>SUM(G38:G40)</f>
        <v>0</v>
      </c>
    </row>
    <row r="42" spans="1:7" ht="15.75" thickBot="1">
      <c r="A42" s="45"/>
      <c r="B42" s="46"/>
      <c r="C42" s="34" t="s">
        <v>46</v>
      </c>
      <c r="D42" s="46"/>
      <c r="E42" s="46"/>
      <c r="F42" s="46"/>
      <c r="G42" s="63">
        <f>G9+G21+G35+G41</f>
        <v>0</v>
      </c>
    </row>
    <row r="43" spans="1:7" ht="15.75" thickBot="1">
      <c r="A43" s="32"/>
      <c r="B43" s="33"/>
      <c r="C43" s="34" t="s">
        <v>47</v>
      </c>
      <c r="D43" s="33"/>
      <c r="E43" s="33"/>
      <c r="F43" s="33"/>
      <c r="G43" s="63">
        <f>G42*1.21</f>
        <v>0</v>
      </c>
    </row>
    <row r="48" ht="15">
      <c r="H48" s="28"/>
    </row>
    <row r="49" ht="15">
      <c r="H49" s="28"/>
    </row>
    <row r="50" ht="15">
      <c r="H50" s="28"/>
    </row>
    <row r="51" ht="15">
      <c r="H51" s="28"/>
    </row>
    <row r="52" ht="15">
      <c r="H52" s="28"/>
    </row>
    <row r="53" ht="15">
      <c r="H53" s="28"/>
    </row>
  </sheetData>
  <sheetProtection/>
  <mergeCells count="1">
    <mergeCell ref="F3:G3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7" sqref="F7:F13"/>
    </sheetView>
  </sheetViews>
  <sheetFormatPr defaultColWidth="9.140625" defaultRowHeight="15"/>
  <cols>
    <col min="3" max="3" width="55.140625" style="0" customWidth="1"/>
    <col min="4" max="4" width="8.7109375" style="0" customWidth="1"/>
    <col min="6" max="6" width="14.8515625" style="0" customWidth="1"/>
    <col min="7" max="7" width="15.7109375" style="0" customWidth="1"/>
  </cols>
  <sheetData>
    <row r="1" spans="1:7" ht="15">
      <c r="A1" s="3" t="s">
        <v>0</v>
      </c>
      <c r="B1" s="2"/>
      <c r="C1" s="4" t="s">
        <v>66</v>
      </c>
      <c r="D1" s="1"/>
      <c r="E1" s="1"/>
      <c r="F1" s="1"/>
      <c r="G1" s="1"/>
    </row>
    <row r="2" spans="1:7" ht="15.75" thickBot="1">
      <c r="A2" s="3" t="s">
        <v>1</v>
      </c>
      <c r="B2" s="2"/>
      <c r="C2" s="4" t="s">
        <v>86</v>
      </c>
      <c r="D2" s="1"/>
      <c r="E2" s="1"/>
      <c r="F2" s="1"/>
      <c r="G2" s="1"/>
    </row>
    <row r="3" spans="1:7" ht="1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7" t="s">
        <v>7</v>
      </c>
      <c r="G3" s="87"/>
    </row>
    <row r="4" spans="1:7" ht="1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7" ht="15">
      <c r="A6" s="38"/>
      <c r="B6" s="80"/>
      <c r="C6" s="81" t="s">
        <v>17</v>
      </c>
      <c r="D6" s="82"/>
      <c r="E6" s="83"/>
      <c r="F6" s="83"/>
      <c r="G6" s="84"/>
    </row>
    <row r="7" spans="1:7" ht="54" customHeight="1">
      <c r="A7" s="42">
        <v>1</v>
      </c>
      <c r="B7" s="21" t="s">
        <v>23</v>
      </c>
      <c r="C7" s="22" t="s">
        <v>87</v>
      </c>
      <c r="D7" s="49" t="s">
        <v>18</v>
      </c>
      <c r="E7" s="48">
        <f>0.7*0.4*40.1</f>
        <v>11.228</v>
      </c>
      <c r="F7" s="48"/>
      <c r="G7" s="59">
        <f aca="true" t="shared" si="0" ref="G7:G13">E7*F7</f>
        <v>0</v>
      </c>
    </row>
    <row r="8" spans="1:7" ht="75">
      <c r="A8" s="42">
        <f>A7+1</f>
        <v>2</v>
      </c>
      <c r="B8" s="21" t="s">
        <v>58</v>
      </c>
      <c r="C8" s="22" t="s">
        <v>67</v>
      </c>
      <c r="D8" s="49" t="s">
        <v>18</v>
      </c>
      <c r="E8" s="48">
        <f>0.5*40.1</f>
        <v>20.05</v>
      </c>
      <c r="F8" s="48"/>
      <c r="G8" s="59">
        <f t="shared" si="0"/>
        <v>0</v>
      </c>
    </row>
    <row r="9" spans="1:7" ht="57.75" customHeight="1">
      <c r="A9" s="42">
        <f>A8+1</f>
        <v>3</v>
      </c>
      <c r="B9" s="21" t="s">
        <v>90</v>
      </c>
      <c r="C9" s="22" t="s">
        <v>91</v>
      </c>
      <c r="D9" s="49" t="s">
        <v>18</v>
      </c>
      <c r="E9" s="48">
        <f>0.3*40.1</f>
        <v>12.03</v>
      </c>
      <c r="F9" s="48"/>
      <c r="G9" s="59">
        <f>E9*F9</f>
        <v>0</v>
      </c>
    </row>
    <row r="10" spans="1:7" ht="15">
      <c r="A10" s="42"/>
      <c r="B10" s="21"/>
      <c r="C10" s="23" t="s">
        <v>17</v>
      </c>
      <c r="D10" s="49"/>
      <c r="E10" s="48"/>
      <c r="F10" s="48"/>
      <c r="G10" s="60">
        <f>SUM(G7:G9)</f>
        <v>0</v>
      </c>
    </row>
    <row r="11" spans="1:7" ht="15">
      <c r="A11" s="42"/>
      <c r="B11" s="21"/>
      <c r="C11" s="23"/>
      <c r="D11" s="49"/>
      <c r="E11" s="48"/>
      <c r="F11" s="48"/>
      <c r="G11" s="60"/>
    </row>
    <row r="12" spans="1:7" ht="15">
      <c r="A12" s="38"/>
      <c r="B12" s="39"/>
      <c r="C12" s="26" t="s">
        <v>88</v>
      </c>
      <c r="D12" s="49"/>
      <c r="E12" s="39"/>
      <c r="F12" s="39"/>
      <c r="G12" s="61"/>
    </row>
    <row r="13" spans="1:7" ht="59.25" customHeight="1">
      <c r="A13" s="38">
        <f>A9+1</f>
        <v>4</v>
      </c>
      <c r="B13" s="39">
        <v>327114</v>
      </c>
      <c r="C13" s="72" t="s">
        <v>89</v>
      </c>
      <c r="D13" s="49" t="s">
        <v>28</v>
      </c>
      <c r="E13" s="71">
        <f>35*0.12</f>
        <v>4.2</v>
      </c>
      <c r="F13" s="39"/>
      <c r="G13" s="57">
        <f t="shared" si="0"/>
        <v>0</v>
      </c>
    </row>
    <row r="14" spans="1:7" ht="15.75" thickBot="1">
      <c r="A14" s="38"/>
      <c r="B14" s="35"/>
      <c r="C14" s="26" t="s">
        <v>88</v>
      </c>
      <c r="D14" s="40"/>
      <c r="E14" s="40"/>
      <c r="F14" s="40"/>
      <c r="G14" s="60">
        <f>SUM(G13:G13)</f>
        <v>0</v>
      </c>
    </row>
    <row r="15" spans="1:7" ht="15.75" thickBot="1">
      <c r="A15" s="45"/>
      <c r="B15" s="46"/>
      <c r="C15" s="34" t="s">
        <v>46</v>
      </c>
      <c r="D15" s="46"/>
      <c r="E15" s="46"/>
      <c r="F15" s="46"/>
      <c r="G15" s="63">
        <f>G14+G10</f>
        <v>0</v>
      </c>
    </row>
    <row r="16" spans="1:7" ht="15.75" thickBot="1">
      <c r="A16" s="32"/>
      <c r="B16" s="33"/>
      <c r="C16" s="34" t="s">
        <v>47</v>
      </c>
      <c r="D16" s="33"/>
      <c r="E16" s="33"/>
      <c r="F16" s="33"/>
      <c r="G16" s="63">
        <f>G15*1.21</f>
        <v>0</v>
      </c>
    </row>
    <row r="21" ht="15">
      <c r="H21" s="28"/>
    </row>
    <row r="22" ht="15">
      <c r="H22" s="28"/>
    </row>
    <row r="23" ht="15">
      <c r="H23" s="28"/>
    </row>
    <row r="24" ht="15">
      <c r="H24" s="28"/>
    </row>
    <row r="25" ht="15">
      <c r="H25" s="28"/>
    </row>
    <row r="26" ht="15">
      <c r="H26" s="28"/>
    </row>
  </sheetData>
  <sheetProtection/>
  <mergeCells count="1">
    <mergeCell ref="F3:G3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M13" sqref="M13"/>
    </sheetView>
  </sheetViews>
  <sheetFormatPr defaultColWidth="9.140625" defaultRowHeight="15"/>
  <cols>
    <col min="3" max="3" width="55.140625" style="0" customWidth="1"/>
    <col min="4" max="4" width="8.7109375" style="0" customWidth="1"/>
    <col min="6" max="6" width="14.8515625" style="0" customWidth="1"/>
    <col min="7" max="7" width="13.7109375" style="0" customWidth="1"/>
  </cols>
  <sheetData>
    <row r="1" spans="1:7" ht="15">
      <c r="A1" s="3" t="s">
        <v>0</v>
      </c>
      <c r="B1" s="2"/>
      <c r="C1" s="4" t="s">
        <v>66</v>
      </c>
      <c r="D1" s="1"/>
      <c r="E1" s="1"/>
      <c r="F1" s="1"/>
      <c r="G1" s="1"/>
    </row>
    <row r="2" spans="1:7" ht="15.75" thickBot="1">
      <c r="A2" s="3" t="s">
        <v>1</v>
      </c>
      <c r="B2" s="2"/>
      <c r="C2" s="30" t="s">
        <v>38</v>
      </c>
      <c r="D2" s="1"/>
      <c r="E2" s="1"/>
      <c r="F2" s="1"/>
      <c r="G2" s="1"/>
    </row>
    <row r="3" spans="1:7" ht="1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7" t="s">
        <v>7</v>
      </c>
      <c r="G3" s="87"/>
    </row>
    <row r="4" spans="1:7" ht="1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66">
        <v>7</v>
      </c>
    </row>
    <row r="6" spans="1:7" ht="15">
      <c r="A6" s="41"/>
      <c r="B6" s="53"/>
      <c r="C6" s="51" t="s">
        <v>17</v>
      </c>
      <c r="D6" s="37"/>
      <c r="E6" s="37"/>
      <c r="F6" s="37"/>
      <c r="G6" s="67"/>
    </row>
    <row r="7" spans="1:7" ht="93.75" customHeight="1">
      <c r="A7" s="38">
        <v>1</v>
      </c>
      <c r="B7" s="39">
        <v>132932</v>
      </c>
      <c r="C7" s="86" t="s">
        <v>92</v>
      </c>
      <c r="D7" s="39" t="s">
        <v>28</v>
      </c>
      <c r="E7" s="39">
        <f>(52+25+78)*0.4*0.5+(6.8+13.5)*0.4*0.5</f>
        <v>35.06</v>
      </c>
      <c r="F7" s="39"/>
      <c r="G7" s="61">
        <f>E7*F7</f>
        <v>0</v>
      </c>
    </row>
    <row r="8" spans="1:7" ht="15">
      <c r="A8" s="38"/>
      <c r="B8" s="39"/>
      <c r="C8" s="52" t="s">
        <v>17</v>
      </c>
      <c r="D8" s="39"/>
      <c r="E8" s="39"/>
      <c r="F8" s="39"/>
      <c r="G8" s="64">
        <f>SUM(G7)</f>
        <v>0</v>
      </c>
    </row>
    <row r="9" spans="1:7" ht="10.5" customHeight="1">
      <c r="A9" s="38"/>
      <c r="B9" s="39"/>
      <c r="C9" s="52"/>
      <c r="D9" s="39"/>
      <c r="E9" s="39"/>
      <c r="F9" s="39"/>
      <c r="G9" s="61"/>
    </row>
    <row r="10" spans="1:7" ht="15">
      <c r="A10" s="38"/>
      <c r="B10" s="39"/>
      <c r="C10" s="36" t="s">
        <v>36</v>
      </c>
      <c r="D10" s="39"/>
      <c r="E10" s="39"/>
      <c r="F10" s="39"/>
      <c r="G10" s="61"/>
    </row>
    <row r="11" spans="1:7" ht="60">
      <c r="A11" s="38">
        <v>2</v>
      </c>
      <c r="B11" s="39">
        <v>89712</v>
      </c>
      <c r="C11" s="72" t="s">
        <v>63</v>
      </c>
      <c r="D11" s="39" t="s">
        <v>56</v>
      </c>
      <c r="E11" s="39">
        <v>4</v>
      </c>
      <c r="F11" s="39"/>
      <c r="G11" s="61">
        <f>E11*F11</f>
        <v>0</v>
      </c>
    </row>
    <row r="12" spans="1:7" ht="60">
      <c r="A12" s="38">
        <f>A11+1</f>
        <v>3</v>
      </c>
      <c r="B12" s="39">
        <v>87433</v>
      </c>
      <c r="C12" s="27" t="s">
        <v>95</v>
      </c>
      <c r="D12" s="39" t="s">
        <v>34</v>
      </c>
      <c r="E12" s="39">
        <f>(6.8+13.5)</f>
        <v>20.3</v>
      </c>
      <c r="F12" s="39"/>
      <c r="G12" s="61">
        <f>E12*F12</f>
        <v>0</v>
      </c>
    </row>
    <row r="13" spans="1:7" ht="75">
      <c r="A13" s="38">
        <f>A12+1</f>
        <v>4</v>
      </c>
      <c r="B13" s="39">
        <v>875272</v>
      </c>
      <c r="C13" s="27" t="s">
        <v>93</v>
      </c>
      <c r="D13" s="39" t="s">
        <v>34</v>
      </c>
      <c r="E13" s="39">
        <f>(52+25+78)</f>
        <v>155</v>
      </c>
      <c r="F13" s="39"/>
      <c r="G13" s="61">
        <f>E13*F13</f>
        <v>0</v>
      </c>
    </row>
    <row r="14" spans="1:7" ht="45">
      <c r="A14" s="38">
        <f>A13+1</f>
        <v>5</v>
      </c>
      <c r="B14" s="39">
        <v>87999</v>
      </c>
      <c r="C14" s="27" t="s">
        <v>94</v>
      </c>
      <c r="D14" s="39" t="s">
        <v>56</v>
      </c>
      <c r="E14" s="39">
        <v>4</v>
      </c>
      <c r="F14" s="39"/>
      <c r="G14" s="61">
        <f>E14*F14</f>
        <v>0</v>
      </c>
    </row>
    <row r="15" spans="1:7" ht="15.75" thickBot="1">
      <c r="A15" s="38"/>
      <c r="B15" s="39"/>
      <c r="C15" s="36" t="s">
        <v>36</v>
      </c>
      <c r="D15" s="25"/>
      <c r="E15" s="25"/>
      <c r="F15" s="25"/>
      <c r="G15" s="69">
        <f>SUM(G11:G14)</f>
        <v>0</v>
      </c>
    </row>
    <row r="16" spans="1:7" ht="15.75" thickBot="1">
      <c r="A16" s="32"/>
      <c r="B16" s="33"/>
      <c r="C16" s="34" t="s">
        <v>46</v>
      </c>
      <c r="D16" s="33"/>
      <c r="E16" s="33"/>
      <c r="F16" s="33"/>
      <c r="G16" s="68">
        <f>G8+G15</f>
        <v>0</v>
      </c>
    </row>
    <row r="17" spans="1:7" ht="15.75" thickBot="1">
      <c r="A17" s="32"/>
      <c r="B17" s="33"/>
      <c r="C17" s="34" t="s">
        <v>47</v>
      </c>
      <c r="D17" s="33"/>
      <c r="E17" s="33"/>
      <c r="F17" s="33"/>
      <c r="G17" s="63">
        <f>G16*1.21</f>
        <v>0</v>
      </c>
    </row>
  </sheetData>
  <sheetProtection/>
  <mergeCells count="1">
    <mergeCell ref="F3:G3"/>
  </mergeCells>
  <printOptions/>
  <pageMargins left="0.7" right="0.7" top="0.787401575" bottom="0.7874015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carcass</dc:creator>
  <cp:keywords/>
  <dc:description/>
  <cp:lastModifiedBy>kata</cp:lastModifiedBy>
  <cp:lastPrinted>2018-12-26T19:48:03Z</cp:lastPrinted>
  <dcterms:created xsi:type="dcterms:W3CDTF">2015-04-17T12:06:55Z</dcterms:created>
  <dcterms:modified xsi:type="dcterms:W3CDTF">2019-01-09T13:25:04Z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