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<sst xmlns="http://schemas.openxmlformats.org/spreadsheetml/2006/main" count="743" uniqueCount="371">
  <si>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</si>
  <si>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</si>
  <si>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</si>
  <si>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</si>
  <si>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</si>
  <si>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</si>
  <si>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</si>
  <si>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</si>
  <si>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</si>
  <si>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</si>
  <si>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</si>
  <si>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</si>
  <si>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</si>
  <si>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</si>
  <si>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</si>
  <si>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</si>
  <si>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</si>
  <si>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</si>
  <si>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</si>
  <si>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</si>
  <si>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</si>
  <si>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</si>
  <si>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</si>
  <si>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</si>
  <si>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</si>
  <si>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</si>
  <si>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</si>
  <si>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</si>
  <si>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</si>
  <si>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</si>
  <si>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</si>
  <si>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</si>
  <si>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</si>
  <si>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</si>
  <si>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</si>
  <si>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</si>
  <si>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</si>
  <si>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</si>
  <si>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</si>
  <si>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</si>
  <si>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</si>
  <si>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</si>
  <si>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</si>
  <si>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</si>
  <si>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</si>
  <si>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</si>
  <si>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</si>
  <si>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</si>
  <si>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</si>
  <si>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</si>
  <si>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</si>
  <si>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</si>
  <si>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</si>
  <si>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</si>
  <si>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</si>
  <si>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</si>
  <si>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</si>
  <si>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</si>
  <si>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</si>
  <si>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</si>
  <si>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</si>
  <si>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</si>
  <si>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Poznámka:</t>
  </si>
  <si>
    <t>Práce klempířské - pouze přímo související s opravou fasády ( svody, parapety, sokly )</t>
  </si>
  <si>
    <t>Objekt</t>
  </si>
  <si>
    <t>Kód</t>
  </si>
  <si>
    <t>139601102R00</t>
  </si>
  <si>
    <t>162701101RT3</t>
  </si>
  <si>
    <t>161101101R00</t>
  </si>
  <si>
    <t>181301101R00</t>
  </si>
  <si>
    <t>310237241RT1</t>
  </si>
  <si>
    <t>349235861R00</t>
  </si>
  <si>
    <t>61</t>
  </si>
  <si>
    <t>612403399RT2</t>
  </si>
  <si>
    <t>612409991RT2</t>
  </si>
  <si>
    <t>612425931RT2</t>
  </si>
  <si>
    <t>62</t>
  </si>
  <si>
    <t>622904112R00</t>
  </si>
  <si>
    <t>620991121R00</t>
  </si>
  <si>
    <t>620991001R00</t>
  </si>
  <si>
    <t>621421144R00</t>
  </si>
  <si>
    <t>622421143R00</t>
  </si>
  <si>
    <t>622412312RT1</t>
  </si>
  <si>
    <t>622311134RU4</t>
  </si>
  <si>
    <t>622311014R00</t>
  </si>
  <si>
    <t>622311352RT3</t>
  </si>
  <si>
    <t>622311521RU1</t>
  </si>
  <si>
    <t>622311519RU1</t>
  </si>
  <si>
    <t>620902129R00</t>
  </si>
  <si>
    <t>622481115R00</t>
  </si>
  <si>
    <t>64</t>
  </si>
  <si>
    <t>641952211R00</t>
  </si>
  <si>
    <t>711</t>
  </si>
  <si>
    <t>711823121RT5</t>
  </si>
  <si>
    <t>762</t>
  </si>
  <si>
    <t>762331812R00</t>
  </si>
  <si>
    <t>764</t>
  </si>
  <si>
    <t>764900050RAA</t>
  </si>
  <si>
    <t>764411240R00</t>
  </si>
  <si>
    <t>764224752R00</t>
  </si>
  <si>
    <t>766</t>
  </si>
  <si>
    <t>766622233R00</t>
  </si>
  <si>
    <t>766670010RAA</t>
  </si>
  <si>
    <t>767</t>
  </si>
  <si>
    <t>767423121R00</t>
  </si>
  <si>
    <t>783</t>
  </si>
  <si>
    <t>783122610R00</t>
  </si>
  <si>
    <t>87</t>
  </si>
  <si>
    <t>871219111R00</t>
  </si>
  <si>
    <t>89</t>
  </si>
  <si>
    <t>899232111R00</t>
  </si>
  <si>
    <t>90</t>
  </si>
  <si>
    <t>900      R01</t>
  </si>
  <si>
    <t>904      R00</t>
  </si>
  <si>
    <t>91</t>
  </si>
  <si>
    <t>916561111RT2</t>
  </si>
  <si>
    <t>919735111R00</t>
  </si>
  <si>
    <t>94</t>
  </si>
  <si>
    <t>941941041R00</t>
  </si>
  <si>
    <t>941941111R00</t>
  </si>
  <si>
    <t>941941841R00</t>
  </si>
  <si>
    <t>96</t>
  </si>
  <si>
    <t>968062355R00</t>
  </si>
  <si>
    <t>97</t>
  </si>
  <si>
    <t>978015291R00</t>
  </si>
  <si>
    <t>974031143R00</t>
  </si>
  <si>
    <t>971033341R00</t>
  </si>
  <si>
    <t>998011002R00</t>
  </si>
  <si>
    <t>H00</t>
  </si>
  <si>
    <t>998009101R00</t>
  </si>
  <si>
    <t>M21</t>
  </si>
  <si>
    <t>210010005R00</t>
  </si>
  <si>
    <t>S</t>
  </si>
  <si>
    <t>979981104R00</t>
  </si>
  <si>
    <t>979990101R00</t>
  </si>
  <si>
    <t>553430152</t>
  </si>
  <si>
    <t>583318076</t>
  </si>
  <si>
    <t>28615236.A</t>
  </si>
  <si>
    <t>28697001.A</t>
  </si>
  <si>
    <t>63127282</t>
  </si>
  <si>
    <t>Fasáda</t>
  </si>
  <si>
    <t>Oprava fasády</t>
  </si>
  <si>
    <t>Muzejní 44, Chrastava</t>
  </si>
  <si>
    <t>Zkrácený popis</t>
  </si>
  <si>
    <t>Rozměry</t>
  </si>
  <si>
    <t>Hloubené vykopávky</t>
  </si>
  <si>
    <t>Ruční výkop jam, rýh a šachet v hornině tř. 3</t>
  </si>
  <si>
    <t>okolo objektu včetně zaústění do šachty</t>
  </si>
  <si>
    <t>Přemístění výkopku</t>
  </si>
  <si>
    <t>Vodorovné přemístění výkopku z hor.1-4 do 6000 m</t>
  </si>
  <si>
    <t>Svislé přemístění výkopku z hor.1-4 do 2,5 m</t>
  </si>
  <si>
    <t>naložení na auto</t>
  </si>
  <si>
    <t>Povrchové úpravy terénu</t>
  </si>
  <si>
    <t>Rozprostření ornice, rovina, tl. do 10 cm do 500m2</t>
  </si>
  <si>
    <t>Zdi podpěrné a volné</t>
  </si>
  <si>
    <t>Zazdívka otvorů cihlami, tl. zdi 30 cm</t>
  </si>
  <si>
    <t>Stěny a příčky</t>
  </si>
  <si>
    <t>Doplnění plošných fasádních prvků vylož. do 15 cm</t>
  </si>
  <si>
    <t>kompletní oprava podstřešní římsy včetně vytažení tvaru</t>
  </si>
  <si>
    <t>Úprava povrchů vnitřní</t>
  </si>
  <si>
    <t>Hrubá výplň rýh ve stěnách maltou</t>
  </si>
  <si>
    <t>Začištění omítek kolem oken,dveří apod.</t>
  </si>
  <si>
    <t>Omítka vápenná ostění - štuková</t>
  </si>
  <si>
    <t>včetně římsy</t>
  </si>
  <si>
    <t>Úprava povrchů vnější</t>
  </si>
  <si>
    <t>Očištění fasád tlakovou vodou složitost 1 - 2</t>
  </si>
  <si>
    <t>Zakrývání výplní vnějších otvorů z lešení</t>
  </si>
  <si>
    <t>Začišťovací okenní lišta pro omítku tl. 6 mm</t>
  </si>
  <si>
    <t>Omítka vnější podhledů, ,.štuková, slož. 1-2</t>
  </si>
  <si>
    <t>Omítka vnější stěn, MV štuková, složitost 1-2</t>
  </si>
  <si>
    <t>Nátěr stěn vnějších, slož.1-2 ,</t>
  </si>
  <si>
    <t>difúzně otevřený nátěr včetně římsy</t>
  </si>
  <si>
    <t>Zateplovací systém Baumit, fasáda, EPS F tl.140 mm</t>
  </si>
  <si>
    <t>silikonová stěrka 3,2 kg/m2</t>
  </si>
  <si>
    <t>Soklová lišta hliník KZS Baumit tl. 140 mm</t>
  </si>
  <si>
    <t>Zatepl.systém Baumit, ostění, EPS F plus tl. 20 mm</t>
  </si>
  <si>
    <t>Zateplovací systém Baumit, sokl, XPS 80 mm</t>
  </si>
  <si>
    <t>včetně marmolitu 5,5 kg/m2</t>
  </si>
  <si>
    <t>Zateplovací systém Baumit, sokl, XPS tl. 20 mm</t>
  </si>
  <si>
    <t>včetně marmolitu</t>
  </si>
  <si>
    <t>Kamenické opracování parapetů a portálu vstupů</t>
  </si>
  <si>
    <t>včetně ochranného nátěru</t>
  </si>
  <si>
    <t>Potažení vnějších stěn a rohů perlinkou</t>
  </si>
  <si>
    <t>k pol č. 55</t>
  </si>
  <si>
    <t>Výplně otvorů</t>
  </si>
  <si>
    <t>Osazení rámů okenních , plocha do 2,5 m2</t>
  </si>
  <si>
    <t>Izolace proti vodě</t>
  </si>
  <si>
    <t>Montáž nopové fólie svisle</t>
  </si>
  <si>
    <t>včetně dodávky nopové folie</t>
  </si>
  <si>
    <t>Konstrukce tesařské</t>
  </si>
  <si>
    <t>Demontáž konstrukcí dřevěných - hranoly</t>
  </si>
  <si>
    <t>komplet. odbourání zadní dřevěné přístavby</t>
  </si>
  <si>
    <t>Konstrukce klempířské</t>
  </si>
  <si>
    <t>Demontáž oplechování parapetů</t>
  </si>
  <si>
    <t>Oplechování parapetů,</t>
  </si>
  <si>
    <t>Úpravy klempířské - svody,objímky,střecha</t>
  </si>
  <si>
    <t>včetně materiálu
Střecha po odbourané dřevěné části. Oplechování přístavku k hlavnímu objektu.</t>
  </si>
  <si>
    <t>Konstrukce truhlářské</t>
  </si>
  <si>
    <t>Okna komplet.otvíravá do rámů, 2kříd.do 1,45 m2</t>
  </si>
  <si>
    <t>Okno plastové jednokřídlové dělené vnitřním rámečkem dle stávajících</t>
  </si>
  <si>
    <t>Konstrukce doplňkové stavební (zámečnické)</t>
  </si>
  <si>
    <t>Oplechování soklu,</t>
  </si>
  <si>
    <t>Nátěry</t>
  </si>
  <si>
    <t>Nátěr syntetický  kovových kcí na fasádě</t>
  </si>
  <si>
    <t>Potrubí z trub plastických, skleněných a čedičových</t>
  </si>
  <si>
    <t>Kladení dren. potrubí bezvýkop.,flex.PVC, bez obs.</t>
  </si>
  <si>
    <t>včetně dodávky dren.hadice 80 mm</t>
  </si>
  <si>
    <t>Ostatní konstrukce a práce na trubním vedení</t>
  </si>
  <si>
    <t>Výšková úprava lapače střešních splavenin</t>
  </si>
  <si>
    <t>včetně pročištění a kontroly funkčnosti</t>
  </si>
  <si>
    <t>Hodinové zúčtovací sazby (HZS)</t>
  </si>
  <si>
    <t>HZS - osazení a dodávka ventilačních mřížek</t>
  </si>
  <si>
    <t>sklep, spíže</t>
  </si>
  <si>
    <t>Hzs-elektro fasáda</t>
  </si>
  <si>
    <t>hromosvod,úpravy el.rozvodů na fasádě,zvonkové tablo</t>
  </si>
  <si>
    <t>Doplňující konstrukce a práce na pozemních komunikacích a zpevněných plochách</t>
  </si>
  <si>
    <t>Osazení záhon.obrubníků do lože z C 12/15 s opěrou</t>
  </si>
  <si>
    <t>včetně dodávky zahradních obrub</t>
  </si>
  <si>
    <t>Řezání stávajícího živičného krytu tl. do 5 cm</t>
  </si>
  <si>
    <t>Lešení a stavební výtahy</t>
  </si>
  <si>
    <t>Montáž lešení leh.řad.s podlahami,š.1,2 m, H 10 m</t>
  </si>
  <si>
    <t>Pronájem lešení za den</t>
  </si>
  <si>
    <t>60 dnů</t>
  </si>
  <si>
    <t>Demontáž lešení leh.řad.s podlahami,š.1,2 m,H 10 m</t>
  </si>
  <si>
    <t>Bourání konstrukcí</t>
  </si>
  <si>
    <t>Vybourání dřevěných rámů oken dvojitých pl. 2 m2</t>
  </si>
  <si>
    <t>Prorážení otvorů a ostatní bourací práce</t>
  </si>
  <si>
    <t>Otlučení omítek vnějších MVC v složit.1-4 do 100 %</t>
  </si>
  <si>
    <t>včetně vyčištění spár na celém objektu</t>
  </si>
  <si>
    <t>Vysekání rýh ve zdi cihelné ( smíšené ) 7 x 10 cm</t>
  </si>
  <si>
    <t>stávající rozvody na fasádě</t>
  </si>
  <si>
    <t>Vybourání otv. zeď cihel. pl.0,09 m2, tl.30cm, MVC</t>
  </si>
  <si>
    <t>Přesun hmot pro budovy zděné výšky do 12 m</t>
  </si>
  <si>
    <t>Běžné stavební práce</t>
  </si>
  <si>
    <t>Přesun hmot lešení samostatně budovaného</t>
  </si>
  <si>
    <t>Elektromontáže</t>
  </si>
  <si>
    <t>Trubka ohebná pod omítku, typ 23.. 36 mm</t>
  </si>
  <si>
    <t>Přesuny sutí</t>
  </si>
  <si>
    <t>Kontejner, suť bez příměsí, odvoz a likvidace, 9 t</t>
  </si>
  <si>
    <t>Poplatek za skládku suti - směs betonu a cihel</t>
  </si>
  <si>
    <t>Ostatní materiál</t>
  </si>
  <si>
    <t>Vyústění plyn.topidel na nové fasádě</t>
  </si>
  <si>
    <t>nový odtah + mřížka</t>
  </si>
  <si>
    <t>Kamenivo těžené frakce  16/32</t>
  </si>
  <si>
    <t>Trubka HT s hrdlem D 110 mm délka 2000 mm PP</t>
  </si>
  <si>
    <t>průchody k ventilacím</t>
  </si>
  <si>
    <t>AWA - Šachta DN400 A15 1,2 m DN 160 průtok</t>
  </si>
  <si>
    <t>revizní šachty na drenáži D 400 mm</t>
  </si>
  <si>
    <t>Bandáž skelná, perlinka s oky 6,5 x 6,5 mm,  50 m2</t>
  </si>
  <si>
    <t>Skelná tkanina pojená plasty. Představuje nejvyšší způsob ochrany před vznikem trhlin.Vložit do jádra.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</si>
  <si>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</si>
  <si>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</si>
  <si>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</si>
  <si>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</si>
  <si>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</si>
  <si>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</si>
  <si>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</si>
  <si>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kus</t>
  </si>
  <si>
    <t>m</t>
  </si>
  <si>
    <t>h</t>
  </si>
  <si>
    <t>kompl.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</si>
  <si>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</si>
  <si>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</si>
  <si>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</si>
  <si>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</si>
  <si>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</si>
  <si>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</si>
  <si>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</si>
  <si>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</si>
  <si>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</si>
  <si>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</si>
  <si>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</si>
  <si>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</si>
  <si>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Pavel Beran</t>
  </si>
  <si>
    <t>Celkem</t>
  </si>
  <si>
    <t>Hmotnost (t)</t>
  </si>
  <si>
    <t>Cenová</t>
  </si>
  <si>
    <t>soustava</t>
  </si>
  <si>
    <t>RTS II / 2015</t>
  </si>
  <si>
    <t>0</t>
  </si>
  <si>
    <t>Přesuny</t>
  </si>
  <si>
    <t>Typ skupiny</t>
  </si>
  <si>
    <t>HS</t>
  </si>
  <si>
    <t>PS</t>
  </si>
  <si>
    <t>MP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</si>
  <si>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</si>
  <si>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</si>
  <si>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</si>
  <si>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</si>
  <si>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</si>
  <si>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</si>
  <si>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</si>
  <si>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</si>
  <si>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13_</t>
  </si>
  <si>
    <t>16_</t>
  </si>
  <si>
    <t>18_</t>
  </si>
  <si>
    <t>31_</t>
  </si>
  <si>
    <t>34_</t>
  </si>
  <si>
    <t>61_</t>
  </si>
  <si>
    <t>62_</t>
  </si>
  <si>
    <t>64_</t>
  </si>
  <si>
    <t>711_</t>
  </si>
  <si>
    <t>762_</t>
  </si>
  <si>
    <t>764_</t>
  </si>
  <si>
    <t>766_</t>
  </si>
  <si>
    <t>767_</t>
  </si>
  <si>
    <t>783_</t>
  </si>
  <si>
    <t>87_</t>
  </si>
  <si>
    <t>89_</t>
  </si>
  <si>
    <t>90_</t>
  </si>
  <si>
    <t>91_</t>
  </si>
  <si>
    <t>94_</t>
  </si>
  <si>
    <t>96_</t>
  </si>
  <si>
    <t>97_</t>
  </si>
  <si>
    <t>H00_</t>
  </si>
  <si>
    <t>M21_</t>
  </si>
  <si>
    <t>S_</t>
  </si>
  <si>
    <t>Z99999_</t>
  </si>
  <si>
    <t>1_</t>
  </si>
  <si>
    <t>3_</t>
  </si>
  <si>
    <t>6_</t>
  </si>
  <si>
    <t>71_</t>
  </si>
  <si>
    <t>76_</t>
  </si>
  <si>
    <t>78_</t>
  </si>
  <si>
    <t>8_</t>
  </si>
  <si>
    <t>9_</t>
  </si>
  <si>
    <t>Z_</t>
  </si>
  <si>
    <t>_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</si>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</sst>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0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15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4" fillId="2" borderId="7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8" fillId="2" borderId="7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1" xfId="0" applyNumberFormat="1" applyFont="1" applyFill="1" applyBorder="1" applyAlignment="1" applyProtection="1">
      <alignment horizontal="right" vertical="top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8" fillId="2" borderId="7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top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8" fillId="2" borderId="7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7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10" fillId="0" borderId="27" xfId="0" applyNumberFormat="1" applyFont="1" applyFill="1" applyBorder="1" applyAlignment="1" applyProtection="1">
      <alignment horizontal="center" vertical="center"/>
      <protection/>
    </xf>
    <xf numFmtId="49" fontId="11" fillId="3" borderId="28" xfId="0" applyNumberFormat="1" applyFont="1" applyFill="1" applyBorder="1" applyAlignment="1" applyProtection="1">
      <alignment horizontal="center"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49" fontId="12" fillId="0" borderId="31" xfId="0" applyNumberFormat="1" applyFont="1" applyFill="1" applyBorder="1" applyAlignment="1" applyProtection="1">
      <alignment horizontal="left" vertical="center"/>
      <protection/>
    </xf>
    <xf numFmtId="49" fontId="12" fillId="3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13" fillId="0" borderId="33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49" fontId="7" fillId="0" borderId="7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49" fontId="14" fillId="0" borderId="31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2" fillId="0" borderId="35" xfId="0" applyNumberFormat="1" applyFont="1" applyFill="1" applyBorder="1" applyAlignment="1" applyProtection="1">
      <alignment horizontal="left" vertical="center"/>
      <protection/>
    </xf>
    <xf numFmtId="0" fontId="12" fillId="3" borderId="27" xfId="0" applyNumberFormat="1" applyFont="1" applyFill="1" applyBorder="1" applyAlignment="1" applyProtection="1">
      <alignment horizontal="left" vertical="center"/>
      <protection/>
    </xf>
    <xf numFmtId="0" fontId="13" fillId="0" borderId="7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9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3" fillId="0" borderId="36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49" fontId="1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3" fillId="0" borderId="35" xfId="0" applyNumberFormat="1" applyFont="1" applyFill="1" applyBorder="1" applyAlignment="1" applyProtection="1">
      <alignment horizontal="left" vertical="center"/>
      <protection/>
    </xf>
    <xf numFmtId="4" fontId="13" fillId="0" borderId="28" xfId="0" applyNumberFormat="1" applyFont="1" applyFill="1" applyBorder="1" applyAlignment="1" applyProtection="1">
      <alignment horizontal="right" vertical="center"/>
      <protection/>
    </xf>
    <xf numFmtId="49" fontId="13" fillId="0" borderId="28" xfId="0" applyNumberFormat="1" applyFont="1" applyFill="1" applyBorder="1" applyAlignment="1" applyProtection="1">
      <alignment horizontal="right" vertical="center"/>
      <protection/>
    </xf>
    <xf numFmtId="4" fontId="13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14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2" fillId="3" borderId="35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49" fontId="2" fillId="0" borderId="1" xfId="0" applyNumberFormat="1" applyFont="1" applyFill="1" applyBorder="1" applyAlignment="1" applyProtection="1">
      <alignment horizont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514350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9"/>
  <sheetViews>
    <sheetView tabSelected="1" workbookViewId="0" topLeftCell="A1">
      <selection activeCell="A1" sqref="A1:M1"/>
    </sheetView>
  </sheetViews>
  <sheetFormatPr defaultColWidth="11.57421875" defaultRowHeight="12.75"/>
  <cols>
    <col min="1" max="1" width="3.7109375" customWidth="1"/>
    <col min="2" max="2" width="6.8515625" customWidth="1"/>
    <col min="3" max="3" width="13.28125" customWidth="1"/>
    <col min="4" max="4" width="58.00390625" customWidth="1"/>
    <col min="5" max="5" width="6.421875" customWidth="1"/>
    <col min="6" max="6" width="12.8515625" customWidth="1"/>
    <col min="7" max="7" width="12.00390625" customWidth="1"/>
    <col min="8" max="10" width="14.28125" customWidth="1"/>
    <col min="11" max="13" width="11.7109375" customWidth="1"/>
    <col min="14" max="14" width="0" hidden="1" customWidth="1"/>
    <col min="15" max="47" width="12.140625" hidden="1" customWidth="1"/>
  </cols>
  <sheetData>
    <row r="1" spans="1:13" ht="72.75" customHeight="1">
      <c r="A1" s="114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2.75">
      <c r="A2" s="3" t="s">
        <v>1</v>
      </c>
      <c r="B2" s="18"/>
      <c r="C2" s="18"/>
      <c r="D2" s="27" t="s">
        <v>140</v>
      </c>
      <c r="E2" s="32" t="s">
        <v>250</v>
      </c>
      <c r="F2" s="18"/>
      <c r="G2" s="32"/>
      <c r="H2" s="18"/>
      <c r="I2" s="47" t="s">
        <v>268</v>
      </c>
      <c r="J2" s="47"/>
      <c r="K2" s="18"/>
      <c r="L2" s="18"/>
      <c r="M2" s="55"/>
      <c r="N2" s="62"/>
    </row>
    <row r="3" spans="1:14" ht="12.75">
      <c r="A3" s="4"/>
      <c r="B3" s="19"/>
      <c r="C3" s="19"/>
      <c r="D3" s="28"/>
      <c r="E3" s="19"/>
      <c r="F3" s="19"/>
      <c r="G3" s="19"/>
      <c r="H3" s="19"/>
      <c r="I3" s="19"/>
      <c r="J3" s="19"/>
      <c r="K3" s="19"/>
      <c r="L3" s="19"/>
      <c r="M3" s="56"/>
      <c r="N3" s="62"/>
    </row>
    <row r="4" spans="1:14" ht="12.75">
      <c r="A4" s="5" t="s">
        <v>2</v>
      </c>
      <c r="B4" s="19"/>
      <c r="C4" s="19"/>
      <c r="D4" s="16" t="s">
        <v>141</v>
      </c>
      <c r="E4" s="33" t="s">
        <v>251</v>
      </c>
      <c r="F4" s="19"/>
      <c r="G4" s="33" t="s">
        <v>6</v>
      </c>
      <c r="H4" s="19"/>
      <c r="I4" s="16" t="s">
        <v>269</v>
      </c>
      <c r="J4" s="16"/>
      <c r="K4" s="19"/>
      <c r="L4" s="19"/>
      <c r="M4" s="56"/>
      <c r="N4" s="62"/>
    </row>
    <row r="5" spans="1:14" ht="12.75">
      <c r="A5" s="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56"/>
      <c r="N5" s="62"/>
    </row>
    <row r="6" spans="1:14" ht="12.75">
      <c r="A6" s="5" t="s">
        <v>3</v>
      </c>
      <c r="B6" s="19"/>
      <c r="C6" s="19"/>
      <c r="D6" s="16" t="s">
        <v>142</v>
      </c>
      <c r="E6" s="33" t="s">
        <v>252</v>
      </c>
      <c r="F6" s="19"/>
      <c r="G6" s="19"/>
      <c r="H6" s="19"/>
      <c r="I6" s="16" t="s">
        <v>270</v>
      </c>
      <c r="J6" s="16"/>
      <c r="K6" s="19"/>
      <c r="L6" s="19"/>
      <c r="M6" s="56"/>
      <c r="N6" s="62"/>
    </row>
    <row r="7" spans="1:14" ht="12.75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56"/>
      <c r="N7" s="62"/>
    </row>
    <row r="8" spans="1:14" ht="12.75">
      <c r="A8" s="5" t="s">
        <v>4</v>
      </c>
      <c r="B8" s="19"/>
      <c r="C8" s="19"/>
      <c r="D8" s="16">
        <v>8035919</v>
      </c>
      <c r="E8" s="33" t="s">
        <v>253</v>
      </c>
      <c r="F8" s="19"/>
      <c r="G8" s="41">
        <v>42431</v>
      </c>
      <c r="H8" s="19"/>
      <c r="I8" s="16" t="s">
        <v>271</v>
      </c>
      <c r="J8" s="16" t="s">
        <v>273</v>
      </c>
      <c r="K8" s="19"/>
      <c r="L8" s="19"/>
      <c r="M8" s="56"/>
      <c r="N8" s="62"/>
    </row>
    <row r="9" spans="1:14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57"/>
      <c r="N9" s="62"/>
    </row>
    <row r="10" spans="1:14" ht="12.75">
      <c r="A10" s="7" t="s">
        <v>5</v>
      </c>
      <c r="B10" s="21" t="s">
        <v>64</v>
      </c>
      <c r="C10" s="21" t="s">
        <v>65</v>
      </c>
      <c r="D10" s="21" t="s">
        <v>143</v>
      </c>
      <c r="E10" s="21" t="s">
        <v>254</v>
      </c>
      <c r="F10" s="38" t="s">
        <v>262</v>
      </c>
      <c r="G10" s="42" t="s">
        <v>263</v>
      </c>
      <c r="H10" s="44" t="s">
        <v>265</v>
      </c>
      <c r="I10" s="48"/>
      <c r="J10" s="51"/>
      <c r="K10" s="44" t="s">
        <v>275</v>
      </c>
      <c r="L10" s="51"/>
      <c r="M10" s="58" t="s">
        <v>276</v>
      </c>
      <c r="N10" s="63"/>
    </row>
    <row r="11" spans="1:24" ht="12.75">
      <c r="A11" s="8" t="s">
        <v>6</v>
      </c>
      <c r="B11" s="22" t="s">
        <v>6</v>
      </c>
      <c r="C11" s="22" t="s">
        <v>6</v>
      </c>
      <c r="D11" s="29" t="s">
        <v>144</v>
      </c>
      <c r="E11" s="22" t="s">
        <v>6</v>
      </c>
      <c r="F11" s="22" t="s">
        <v>6</v>
      </c>
      <c r="G11" s="43" t="s">
        <v>264</v>
      </c>
      <c r="H11" s="45" t="s">
        <v>266</v>
      </c>
      <c r="I11" s="49" t="s">
        <v>272</v>
      </c>
      <c r="J11" s="52" t="s">
        <v>274</v>
      </c>
      <c r="K11" s="45" t="s">
        <v>263</v>
      </c>
      <c r="L11" s="52" t="s">
        <v>274</v>
      </c>
      <c r="M11" s="59" t="s">
        <v>277</v>
      </c>
      <c r="N11" s="63"/>
      <c r="P11" s="54" t="s">
        <v>280</v>
      </c>
      <c r="Q11" s="54" t="s">
        <v>281</v>
      </c>
      <c r="R11" s="54" t="s">
        <v>286</v>
      </c>
      <c r="S11" s="54" t="s">
        <v>287</v>
      </c>
      <c r="T11" s="54" t="s">
        <v>288</v>
      </c>
      <c r="U11" s="54" t="s">
        <v>289</v>
      </c>
      <c r="V11" s="54" t="s">
        <v>290</v>
      </c>
      <c r="W11" s="54" t="s">
        <v>291</v>
      </c>
      <c r="X11" s="54" t="s">
        <v>292</v>
      </c>
    </row>
    <row r="12" spans="1:37" ht="12.75">
      <c r="A12" s="9"/>
      <c r="B12" s="23"/>
      <c r="C12" s="23" t="s">
        <v>19</v>
      </c>
      <c r="D12" s="23" t="s">
        <v>145</v>
      </c>
      <c r="E12" s="34"/>
      <c r="F12" s="34"/>
      <c r="G12" s="34"/>
      <c r="H12" s="66">
        <f>SUM(H13:H13)</f>
        <v>0</v>
      </c>
      <c r="I12" s="66">
        <f>SUM(I13:I13)</f>
        <v>0</v>
      </c>
      <c r="J12" s="66">
        <f>H12+I12</f>
        <v>0</v>
      </c>
      <c r="K12" s="53"/>
      <c r="L12" s="66">
        <f>SUM(L13:L13)</f>
        <v>0</v>
      </c>
      <c r="M12" s="53"/>
      <c r="P12" s="67">
        <f>IF(Q12="PR",J12,SUM(O13:O13))</f>
        <v>0</v>
      </c>
      <c r="Q12" s="54" t="s">
        <v>282</v>
      </c>
      <c r="R12" s="67">
        <f>IF(Q12="HS",H12,0)</f>
        <v>0</v>
      </c>
      <c r="S12" s="67">
        <f>IF(Q12="HS",I12-P12,0)</f>
        <v>0</v>
      </c>
      <c r="T12" s="67">
        <f>IF(Q12="PS",H12,0)</f>
        <v>0</v>
      </c>
      <c r="U12" s="67">
        <f>IF(Q12="PS",I12-P12,0)</f>
        <v>0</v>
      </c>
      <c r="V12" s="67">
        <f>IF(Q12="MP",H12,0)</f>
        <v>0</v>
      </c>
      <c r="W12" s="67">
        <f>IF(Q12="MP",I12-P12,0)</f>
        <v>0</v>
      </c>
      <c r="X12" s="67">
        <f>IF(Q12="OM",H12,0)</f>
        <v>0</v>
      </c>
      <c r="Y12" s="54"/>
      <c r="AI12" s="67">
        <f>SUM(Z13:Z13)</f>
        <v>0</v>
      </c>
      <c r="AJ12" s="67">
        <f>SUM(AA13:AA13)</f>
        <v>0</v>
      </c>
      <c r="AK12" s="67">
        <f>SUM(AB13:AB13)</f>
        <v>0</v>
      </c>
    </row>
    <row r="13" spans="1:43" ht="12.75">
      <c r="A13" s="10" t="s">
        <v>7</v>
      </c>
      <c r="B13" s="10"/>
      <c r="C13" s="10" t="s">
        <v>66</v>
      </c>
      <c r="D13" s="10" t="s">
        <v>146</v>
      </c>
      <c r="E13" s="10" t="s">
        <v>255</v>
      </c>
      <c r="F13" s="39">
        <v>9.06</v>
      </c>
      <c r="G13" s="39">
        <v>0</v>
      </c>
      <c r="H13" s="39">
        <f>F13*AE13</f>
        <v>0</v>
      </c>
      <c r="I13" s="39">
        <f>J13-H13</f>
        <v>0</v>
      </c>
      <c r="J13" s="39">
        <f>F13*G13</f>
        <v>0</v>
      </c>
      <c r="K13" s="39">
        <v>0</v>
      </c>
      <c r="L13" s="39">
        <f>F13*K13</f>
        <v>0</v>
      </c>
      <c r="M13" s="60" t="s">
        <v>278</v>
      </c>
      <c r="N13" s="60" t="s">
        <v>7</v>
      </c>
      <c r="O13" s="39">
        <f>IF(N13="5",I13,0)</f>
        <v>0</v>
      </c>
      <c r="Z13" s="39">
        <f>IF(AD13=0,J13,0)</f>
        <v>0</v>
      </c>
      <c r="AA13" s="39">
        <f>IF(AD13=15,J13,0)</f>
        <v>0</v>
      </c>
      <c r="AB13" s="39">
        <f>IF(AD13=21,J13,0)</f>
        <v>0</v>
      </c>
      <c r="AD13" s="64">
        <v>15</v>
      </c>
      <c r="AE13" s="64">
        <f>G13*0</f>
        <v>0</v>
      </c>
      <c r="AF13" s="64">
        <f>G13*(1-0)</f>
        <v>0</v>
      </c>
      <c r="AM13" s="64">
        <f>F13*AE13</f>
        <v>0</v>
      </c>
      <c r="AN13" s="64">
        <f>F13*AF13</f>
        <v>0</v>
      </c>
      <c r="AO13" s="65" t="s">
        <v>293</v>
      </c>
      <c r="AP13" s="65" t="s">
        <v>318</v>
      </c>
      <c r="AQ13" s="54" t="s">
        <v>327</v>
      </c>
    </row>
    <row r="14" spans="3:13" ht="12.75">
      <c r="C14" s="25" t="s">
        <v>62</v>
      </c>
      <c r="D14" s="30" t="s">
        <v>147</v>
      </c>
      <c r="E14" s="35"/>
      <c r="F14" s="35"/>
      <c r="G14" s="35"/>
      <c r="H14" s="35"/>
      <c r="I14" s="35"/>
      <c r="J14" s="35"/>
      <c r="K14" s="35"/>
      <c r="L14" s="35"/>
      <c r="M14" s="35"/>
    </row>
    <row r="15" spans="1:37" ht="12.75">
      <c r="A15" s="11"/>
      <c r="B15" s="24"/>
      <c r="C15" s="24" t="s">
        <v>22</v>
      </c>
      <c r="D15" s="24" t="s">
        <v>148</v>
      </c>
      <c r="E15" s="36"/>
      <c r="F15" s="36"/>
      <c r="G15" s="36"/>
      <c r="H15" s="67">
        <f>SUM(H16:H17)</f>
        <v>0</v>
      </c>
      <c r="I15" s="67">
        <f>SUM(I16:I17)</f>
        <v>0</v>
      </c>
      <c r="J15" s="67">
        <f>H15+I15</f>
        <v>0</v>
      </c>
      <c r="K15" s="54"/>
      <c r="L15" s="67">
        <f>SUM(L16:L17)</f>
        <v>0</v>
      </c>
      <c r="M15" s="54"/>
      <c r="P15" s="67">
        <f>IF(Q15="PR",J15,SUM(O16:O17))</f>
        <v>0</v>
      </c>
      <c r="Q15" s="54" t="s">
        <v>282</v>
      </c>
      <c r="R15" s="67">
        <f>IF(Q15="HS",H15,0)</f>
        <v>0</v>
      </c>
      <c r="S15" s="67">
        <f>IF(Q15="HS",I15-P15,0)</f>
        <v>0</v>
      </c>
      <c r="T15" s="67">
        <f>IF(Q15="PS",H15,0)</f>
        <v>0</v>
      </c>
      <c r="U15" s="67">
        <f>IF(Q15="PS",I15-P15,0)</f>
        <v>0</v>
      </c>
      <c r="V15" s="67">
        <f>IF(Q15="MP",H15,0)</f>
        <v>0</v>
      </c>
      <c r="W15" s="67">
        <f>IF(Q15="MP",I15-P15,0)</f>
        <v>0</v>
      </c>
      <c r="X15" s="67">
        <f>IF(Q15="OM",H15,0)</f>
        <v>0</v>
      </c>
      <c r="Y15" s="54"/>
      <c r="AI15" s="67">
        <f>SUM(Z16:Z17)</f>
        <v>0</v>
      </c>
      <c r="AJ15" s="67">
        <f>SUM(AA16:AA17)</f>
        <v>0</v>
      </c>
      <c r="AK15" s="67">
        <f>SUM(AB16:AB17)</f>
        <v>0</v>
      </c>
    </row>
    <row r="16" spans="1:43" ht="12.75">
      <c r="A16" s="10" t="s">
        <v>8</v>
      </c>
      <c r="B16" s="10"/>
      <c r="C16" s="10" t="s">
        <v>67</v>
      </c>
      <c r="D16" s="10" t="s">
        <v>149</v>
      </c>
      <c r="E16" s="10" t="s">
        <v>255</v>
      </c>
      <c r="F16" s="39">
        <v>9</v>
      </c>
      <c r="G16" s="39">
        <v>0</v>
      </c>
      <c r="H16" s="39">
        <f>F16*AE16</f>
        <v>0</v>
      </c>
      <c r="I16" s="39">
        <f>J16-H16</f>
        <v>0</v>
      </c>
      <c r="J16" s="39">
        <f>F16*G16</f>
        <v>0</v>
      </c>
      <c r="K16" s="39">
        <v>0</v>
      </c>
      <c r="L16" s="39">
        <f>F16*K16</f>
        <v>0</v>
      </c>
      <c r="M16" s="60" t="s">
        <v>278</v>
      </c>
      <c r="N16" s="60" t="s">
        <v>7</v>
      </c>
      <c r="O16" s="39">
        <f>IF(N16="5",I16,0)</f>
        <v>0</v>
      </c>
      <c r="Z16" s="39">
        <f>IF(AD16=0,J16,0)</f>
        <v>0</v>
      </c>
      <c r="AA16" s="39">
        <f>IF(AD16=15,J16,0)</f>
        <v>0</v>
      </c>
      <c r="AB16" s="39">
        <f>IF(AD16=21,J16,0)</f>
        <v>0</v>
      </c>
      <c r="AD16" s="64">
        <v>15</v>
      </c>
      <c r="AE16" s="64">
        <f>G16*0</f>
        <v>0</v>
      </c>
      <c r="AF16" s="64">
        <f>G16*(1-0)</f>
        <v>0</v>
      </c>
      <c r="AM16" s="64">
        <f>F16*AE16</f>
        <v>0</v>
      </c>
      <c r="AN16" s="64">
        <f>F16*AF16</f>
        <v>0</v>
      </c>
      <c r="AO16" s="65" t="s">
        <v>294</v>
      </c>
      <c r="AP16" s="65" t="s">
        <v>318</v>
      </c>
      <c r="AQ16" s="54" t="s">
        <v>327</v>
      </c>
    </row>
    <row r="17" spans="1:43" ht="12.75">
      <c r="A17" s="10" t="s">
        <v>9</v>
      </c>
      <c r="B17" s="10"/>
      <c r="C17" s="10" t="s">
        <v>68</v>
      </c>
      <c r="D17" s="10" t="s">
        <v>150</v>
      </c>
      <c r="E17" s="10" t="s">
        <v>255</v>
      </c>
      <c r="F17" s="39">
        <v>9</v>
      </c>
      <c r="G17" s="39">
        <v>0</v>
      </c>
      <c r="H17" s="39">
        <f>F17*AE17</f>
        <v>0</v>
      </c>
      <c r="I17" s="39">
        <f>J17-H17</f>
        <v>0</v>
      </c>
      <c r="J17" s="39">
        <f>F17*G17</f>
        <v>0</v>
      </c>
      <c r="K17" s="39">
        <v>0</v>
      </c>
      <c r="L17" s="39">
        <f>F17*K17</f>
        <v>0</v>
      </c>
      <c r="M17" s="60" t="s">
        <v>278</v>
      </c>
      <c r="N17" s="60" t="s">
        <v>7</v>
      </c>
      <c r="O17" s="39">
        <f>IF(N17="5",I17,0)</f>
        <v>0</v>
      </c>
      <c r="Z17" s="39">
        <f>IF(AD17=0,J17,0)</f>
        <v>0</v>
      </c>
      <c r="AA17" s="39">
        <f>IF(AD17=15,J17,0)</f>
        <v>0</v>
      </c>
      <c r="AB17" s="39">
        <f>IF(AD17=21,J17,0)</f>
        <v>0</v>
      </c>
      <c r="AD17" s="64">
        <v>15</v>
      </c>
      <c r="AE17" s="64">
        <f>G17*0</f>
        <v>0</v>
      </c>
      <c r="AF17" s="64">
        <f>G17*(1-0)</f>
        <v>0</v>
      </c>
      <c r="AM17" s="64">
        <f>F17*AE17</f>
        <v>0</v>
      </c>
      <c r="AN17" s="64">
        <f>F17*AF17</f>
        <v>0</v>
      </c>
      <c r="AO17" s="65" t="s">
        <v>294</v>
      </c>
      <c r="AP17" s="65" t="s">
        <v>318</v>
      </c>
      <c r="AQ17" s="54" t="s">
        <v>327</v>
      </c>
    </row>
    <row r="18" spans="3:13" ht="12.75">
      <c r="C18" s="25" t="s">
        <v>62</v>
      </c>
      <c r="D18" s="30" t="s">
        <v>151</v>
      </c>
      <c r="E18" s="35"/>
      <c r="F18" s="35"/>
      <c r="G18" s="35"/>
      <c r="H18" s="35"/>
      <c r="I18" s="35"/>
      <c r="J18" s="35"/>
      <c r="K18" s="35"/>
      <c r="L18" s="35"/>
      <c r="M18" s="35"/>
    </row>
    <row r="19" spans="1:37" ht="12.75">
      <c r="A19" s="11"/>
      <c r="B19" s="24"/>
      <c r="C19" s="24" t="s">
        <v>24</v>
      </c>
      <c r="D19" s="24" t="s">
        <v>152</v>
      </c>
      <c r="E19" s="36"/>
      <c r="F19" s="36"/>
      <c r="G19" s="36"/>
      <c r="H19" s="67">
        <f>SUM(H20:H20)</f>
        <v>0</v>
      </c>
      <c r="I19" s="67">
        <f>SUM(I20:I20)</f>
        <v>0</v>
      </c>
      <c r="J19" s="67">
        <f>H19+I19</f>
        <v>0</v>
      </c>
      <c r="K19" s="54"/>
      <c r="L19" s="67">
        <f>SUM(L20:L20)</f>
        <v>0</v>
      </c>
      <c r="M19" s="54"/>
      <c r="P19" s="67">
        <f>IF(Q19="PR",J19,SUM(O20:O20))</f>
        <v>0</v>
      </c>
      <c r="Q19" s="54" t="s">
        <v>282</v>
      </c>
      <c r="R19" s="67">
        <f>IF(Q19="HS",H19,0)</f>
        <v>0</v>
      </c>
      <c r="S19" s="67">
        <f>IF(Q19="HS",I19-P19,0)</f>
        <v>0</v>
      </c>
      <c r="T19" s="67">
        <f>IF(Q19="PS",H19,0)</f>
        <v>0</v>
      </c>
      <c r="U19" s="67">
        <f>IF(Q19="PS",I19-P19,0)</f>
        <v>0</v>
      </c>
      <c r="V19" s="67">
        <f>IF(Q19="MP",H19,0)</f>
        <v>0</v>
      </c>
      <c r="W19" s="67">
        <f>IF(Q19="MP",I19-P19,0)</f>
        <v>0</v>
      </c>
      <c r="X19" s="67">
        <f>IF(Q19="OM",H19,0)</f>
        <v>0</v>
      </c>
      <c r="Y19" s="54"/>
      <c r="AI19" s="67">
        <f>SUM(Z20:Z20)</f>
        <v>0</v>
      </c>
      <c r="AJ19" s="67">
        <f>SUM(AA20:AA20)</f>
        <v>0</v>
      </c>
      <c r="AK19" s="67">
        <f>SUM(AB20:AB20)</f>
        <v>0</v>
      </c>
    </row>
    <row r="20" spans="1:43" ht="12.75">
      <c r="A20" s="10" t="s">
        <v>10</v>
      </c>
      <c r="B20" s="10"/>
      <c r="C20" s="10" t="s">
        <v>69</v>
      </c>
      <c r="D20" s="10" t="s">
        <v>153</v>
      </c>
      <c r="E20" s="10" t="s">
        <v>256</v>
      </c>
      <c r="F20" s="39">
        <v>60</v>
      </c>
      <c r="G20" s="39">
        <v>0</v>
      </c>
      <c r="H20" s="39">
        <f>F20*AE20</f>
        <v>0</v>
      </c>
      <c r="I20" s="39">
        <f>J20-H20</f>
        <v>0</v>
      </c>
      <c r="J20" s="39">
        <f>F20*G20</f>
        <v>0</v>
      </c>
      <c r="K20" s="39">
        <v>0</v>
      </c>
      <c r="L20" s="39">
        <f>F20*K20</f>
        <v>0</v>
      </c>
      <c r="M20" s="60" t="s">
        <v>278</v>
      </c>
      <c r="N20" s="60" t="s">
        <v>7</v>
      </c>
      <c r="O20" s="39">
        <f>IF(N20="5",I20,0)</f>
        <v>0</v>
      </c>
      <c r="Z20" s="39">
        <f>IF(AD20=0,J20,0)</f>
        <v>0</v>
      </c>
      <c r="AA20" s="39">
        <f>IF(AD20=15,J20,0)</f>
        <v>0</v>
      </c>
      <c r="AB20" s="39">
        <f>IF(AD20=21,J20,0)</f>
        <v>0</v>
      </c>
      <c r="AD20" s="64">
        <v>15</v>
      </c>
      <c r="AE20" s="64">
        <f>G20*0</f>
        <v>0</v>
      </c>
      <c r="AF20" s="64">
        <f>G20*(1-0)</f>
        <v>0</v>
      </c>
      <c r="AM20" s="64">
        <f>F20*AE20</f>
        <v>0</v>
      </c>
      <c r="AN20" s="64">
        <f>F20*AF20</f>
        <v>0</v>
      </c>
      <c r="AO20" s="65" t="s">
        <v>295</v>
      </c>
      <c r="AP20" s="65" t="s">
        <v>318</v>
      </c>
      <c r="AQ20" s="54" t="s">
        <v>327</v>
      </c>
    </row>
    <row r="21" spans="1:37" ht="12.75">
      <c r="A21" s="11"/>
      <c r="B21" s="24"/>
      <c r="C21" s="24" t="s">
        <v>37</v>
      </c>
      <c r="D21" s="24" t="s">
        <v>154</v>
      </c>
      <c r="E21" s="36"/>
      <c r="F21" s="36"/>
      <c r="G21" s="36"/>
      <c r="H21" s="67">
        <f>SUM(H22:H22)</f>
        <v>0</v>
      </c>
      <c r="I21" s="67">
        <f>SUM(I22:I22)</f>
        <v>0</v>
      </c>
      <c r="J21" s="67">
        <f>H21+I21</f>
        <v>0</v>
      </c>
      <c r="K21" s="54"/>
      <c r="L21" s="67">
        <f>SUM(L22:L22)</f>
        <v>0.94736</v>
      </c>
      <c r="M21" s="54"/>
      <c r="P21" s="67">
        <f>IF(Q21="PR",J21,SUM(O22:O22))</f>
        <v>0</v>
      </c>
      <c r="Q21" s="54" t="s">
        <v>282</v>
      </c>
      <c r="R21" s="67">
        <f>IF(Q21="HS",H21,0)</f>
        <v>0</v>
      </c>
      <c r="S21" s="67">
        <f>IF(Q21="HS",I21-P21,0)</f>
        <v>0</v>
      </c>
      <c r="T21" s="67">
        <f>IF(Q21="PS",H21,0)</f>
        <v>0</v>
      </c>
      <c r="U21" s="67">
        <f>IF(Q21="PS",I21-P21,0)</f>
        <v>0</v>
      </c>
      <c r="V21" s="67">
        <f>IF(Q21="MP",H21,0)</f>
        <v>0</v>
      </c>
      <c r="W21" s="67">
        <f>IF(Q21="MP",I21-P21,0)</f>
        <v>0</v>
      </c>
      <c r="X21" s="67">
        <f>IF(Q21="OM",H21,0)</f>
        <v>0</v>
      </c>
      <c r="Y21" s="54"/>
      <c r="AI21" s="67">
        <f>SUM(Z22:Z22)</f>
        <v>0</v>
      </c>
      <c r="AJ21" s="67">
        <f>SUM(AA22:AA22)</f>
        <v>0</v>
      </c>
      <c r="AK21" s="67">
        <f>SUM(AB22:AB22)</f>
        <v>0</v>
      </c>
    </row>
    <row r="22" spans="1:43" ht="12.75">
      <c r="A22" s="10" t="s">
        <v>11</v>
      </c>
      <c r="B22" s="10"/>
      <c r="C22" s="10" t="s">
        <v>70</v>
      </c>
      <c r="D22" s="10" t="s">
        <v>155</v>
      </c>
      <c r="E22" s="10" t="s">
        <v>257</v>
      </c>
      <c r="F22" s="39">
        <v>8</v>
      </c>
      <c r="G22" s="39">
        <v>0</v>
      </c>
      <c r="H22" s="39">
        <f>F22*AE22</f>
        <v>0</v>
      </c>
      <c r="I22" s="39">
        <f>J22-H22</f>
        <v>0</v>
      </c>
      <c r="J22" s="39">
        <f>F22*G22</f>
        <v>0</v>
      </c>
      <c r="K22" s="39">
        <v>0.11842</v>
      </c>
      <c r="L22" s="39">
        <f>F22*K22</f>
        <v>0.94736</v>
      </c>
      <c r="M22" s="60" t="s">
        <v>278</v>
      </c>
      <c r="N22" s="60" t="s">
        <v>7</v>
      </c>
      <c r="O22" s="39">
        <f>IF(N22="5",I22,0)</f>
        <v>0</v>
      </c>
      <c r="Z22" s="39">
        <f>IF(AD22=0,J22,0)</f>
        <v>0</v>
      </c>
      <c r="AA22" s="39">
        <f>IF(AD22=15,J22,0)</f>
        <v>0</v>
      </c>
      <c r="AB22" s="39">
        <f>IF(AD22=21,J22,0)</f>
        <v>0</v>
      </c>
      <c r="AD22" s="64">
        <v>15</v>
      </c>
      <c r="AE22" s="64">
        <f>G22*0.618128757956175</f>
        <v>0</v>
      </c>
      <c r="AF22" s="64">
        <f>G22*(1-0.618128757956175)</f>
        <v>0</v>
      </c>
      <c r="AM22" s="64">
        <f>F22*AE22</f>
        <v>0</v>
      </c>
      <c r="AN22" s="64">
        <f>F22*AF22</f>
        <v>0</v>
      </c>
      <c r="AO22" s="65" t="s">
        <v>296</v>
      </c>
      <c r="AP22" s="65" t="s">
        <v>319</v>
      </c>
      <c r="AQ22" s="54" t="s">
        <v>327</v>
      </c>
    </row>
    <row r="23" spans="1:37" ht="12.75">
      <c r="A23" s="11"/>
      <c r="B23" s="24"/>
      <c r="C23" s="24" t="s">
        <v>40</v>
      </c>
      <c r="D23" s="24" t="s">
        <v>156</v>
      </c>
      <c r="E23" s="36"/>
      <c r="F23" s="36"/>
      <c r="G23" s="36"/>
      <c r="H23" s="67">
        <f>SUM(H24:H24)</f>
        <v>0</v>
      </c>
      <c r="I23" s="67">
        <f>SUM(I24:I24)</f>
        <v>0</v>
      </c>
      <c r="J23" s="67">
        <f>H23+I23</f>
        <v>0</v>
      </c>
      <c r="K23" s="54"/>
      <c r="L23" s="67">
        <f>SUM(L24:L24)</f>
        <v>9.629574999999999</v>
      </c>
      <c r="M23" s="54"/>
      <c r="P23" s="67">
        <f>IF(Q23="PR",J23,SUM(O24:O24))</f>
        <v>0</v>
      </c>
      <c r="Q23" s="54" t="s">
        <v>282</v>
      </c>
      <c r="R23" s="67">
        <f>IF(Q23="HS",H23,0)</f>
        <v>0</v>
      </c>
      <c r="S23" s="67">
        <f>IF(Q23="HS",I23-P23,0)</f>
        <v>0</v>
      </c>
      <c r="T23" s="67">
        <f>IF(Q23="PS",H23,0)</f>
        <v>0</v>
      </c>
      <c r="U23" s="67">
        <f>IF(Q23="PS",I23-P23,0)</f>
        <v>0</v>
      </c>
      <c r="V23" s="67">
        <f>IF(Q23="MP",H23,0)</f>
        <v>0</v>
      </c>
      <c r="W23" s="67">
        <f>IF(Q23="MP",I23-P23,0)</f>
        <v>0</v>
      </c>
      <c r="X23" s="67">
        <f>IF(Q23="OM",H23,0)</f>
        <v>0</v>
      </c>
      <c r="Y23" s="54"/>
      <c r="AI23" s="67">
        <f>SUM(Z24:Z24)</f>
        <v>0</v>
      </c>
      <c r="AJ23" s="67">
        <f>SUM(AA24:AA24)</f>
        <v>0</v>
      </c>
      <c r="AK23" s="67">
        <f>SUM(AB24:AB24)</f>
        <v>0</v>
      </c>
    </row>
    <row r="24" spans="1:43" ht="12.75">
      <c r="A24" s="10" t="s">
        <v>12</v>
      </c>
      <c r="B24" s="10"/>
      <c r="C24" s="10" t="s">
        <v>71</v>
      </c>
      <c r="D24" s="10" t="s">
        <v>157</v>
      </c>
      <c r="E24" s="10" t="s">
        <v>256</v>
      </c>
      <c r="F24" s="39">
        <v>33.5</v>
      </c>
      <c r="G24" s="39">
        <v>0</v>
      </c>
      <c r="H24" s="39">
        <f>F24*AE24</f>
        <v>0</v>
      </c>
      <c r="I24" s="39">
        <f>J24-H24</f>
        <v>0</v>
      </c>
      <c r="J24" s="39">
        <f>F24*G24</f>
        <v>0</v>
      </c>
      <c r="K24" s="39">
        <v>0.28745</v>
      </c>
      <c r="L24" s="39">
        <f>F24*K24</f>
        <v>9.629574999999999</v>
      </c>
      <c r="M24" s="60" t="s">
        <v>278</v>
      </c>
      <c r="N24" s="60" t="s">
        <v>7</v>
      </c>
      <c r="O24" s="39">
        <f>IF(N24="5",I24,0)</f>
        <v>0</v>
      </c>
      <c r="Z24" s="39">
        <f>IF(AD24=0,J24,0)</f>
        <v>0</v>
      </c>
      <c r="AA24" s="39">
        <f>IF(AD24=15,J24,0)</f>
        <v>0</v>
      </c>
      <c r="AB24" s="39">
        <f>IF(AD24=21,J24,0)</f>
        <v>0</v>
      </c>
      <c r="AD24" s="64">
        <v>15</v>
      </c>
      <c r="AE24" s="64">
        <f>G24*0.52175</f>
        <v>0</v>
      </c>
      <c r="AF24" s="64">
        <f>G24*(1-0.52175)</f>
        <v>0</v>
      </c>
      <c r="AM24" s="64">
        <f>F24*AE24</f>
        <v>0</v>
      </c>
      <c r="AN24" s="64">
        <f>F24*AF24</f>
        <v>0</v>
      </c>
      <c r="AO24" s="65" t="s">
        <v>297</v>
      </c>
      <c r="AP24" s="65" t="s">
        <v>319</v>
      </c>
      <c r="AQ24" s="54" t="s">
        <v>327</v>
      </c>
    </row>
    <row r="25" spans="3:13" ht="12.75">
      <c r="C25" s="25" t="s">
        <v>62</v>
      </c>
      <c r="D25" s="30" t="s">
        <v>158</v>
      </c>
      <c r="E25" s="35"/>
      <c r="F25" s="35"/>
      <c r="G25" s="35"/>
      <c r="H25" s="35"/>
      <c r="I25" s="35"/>
      <c r="J25" s="35"/>
      <c r="K25" s="35"/>
      <c r="L25" s="35"/>
      <c r="M25" s="35"/>
    </row>
    <row r="26" spans="1:37" ht="12.75">
      <c r="A26" s="11"/>
      <c r="B26" s="24"/>
      <c r="C26" s="24" t="s">
        <v>72</v>
      </c>
      <c r="D26" s="24" t="s">
        <v>159</v>
      </c>
      <c r="E26" s="36"/>
      <c r="F26" s="36"/>
      <c r="G26" s="36"/>
      <c r="H26" s="67">
        <f>SUM(H27:H29)</f>
        <v>0</v>
      </c>
      <c r="I26" s="67">
        <f>SUM(I27:I29)</f>
        <v>0</v>
      </c>
      <c r="J26" s="67">
        <f>H26+I26</f>
        <v>0</v>
      </c>
      <c r="K26" s="54"/>
      <c r="L26" s="67">
        <f>SUM(L27:L29)</f>
        <v>2.3892499999999997</v>
      </c>
      <c r="M26" s="54"/>
      <c r="P26" s="67">
        <f>IF(Q26="PR",J26,SUM(O27:O29))</f>
        <v>0</v>
      </c>
      <c r="Q26" s="54" t="s">
        <v>282</v>
      </c>
      <c r="R26" s="67">
        <f>IF(Q26="HS",H26,0)</f>
        <v>0</v>
      </c>
      <c r="S26" s="67">
        <f>IF(Q26="HS",I26-P26,0)</f>
        <v>0</v>
      </c>
      <c r="T26" s="67">
        <f>IF(Q26="PS",H26,0)</f>
        <v>0</v>
      </c>
      <c r="U26" s="67">
        <f>IF(Q26="PS",I26-P26,0)</f>
        <v>0</v>
      </c>
      <c r="V26" s="67">
        <f>IF(Q26="MP",H26,0)</f>
        <v>0</v>
      </c>
      <c r="W26" s="67">
        <f>IF(Q26="MP",I26-P26,0)</f>
        <v>0</v>
      </c>
      <c r="X26" s="67">
        <f>IF(Q26="OM",H26,0)</f>
        <v>0</v>
      </c>
      <c r="Y26" s="54"/>
      <c r="AI26" s="67">
        <f>SUM(Z27:Z29)</f>
        <v>0</v>
      </c>
      <c r="AJ26" s="67">
        <f>SUM(AA27:AA29)</f>
        <v>0</v>
      </c>
      <c r="AK26" s="67">
        <f>SUM(AB27:AB29)</f>
        <v>0</v>
      </c>
    </row>
    <row r="27" spans="1:43" ht="12.75">
      <c r="A27" s="10" t="s">
        <v>13</v>
      </c>
      <c r="B27" s="10"/>
      <c r="C27" s="10" t="s">
        <v>73</v>
      </c>
      <c r="D27" s="10" t="s">
        <v>160</v>
      </c>
      <c r="E27" s="10" t="s">
        <v>256</v>
      </c>
      <c r="F27" s="39">
        <v>2</v>
      </c>
      <c r="G27" s="39">
        <v>0</v>
      </c>
      <c r="H27" s="39">
        <f>F27*AE27</f>
        <v>0</v>
      </c>
      <c r="I27" s="39">
        <f>J27-H27</f>
        <v>0</v>
      </c>
      <c r="J27" s="39">
        <f>F27*G27</f>
        <v>0</v>
      </c>
      <c r="K27" s="39">
        <v>0.068</v>
      </c>
      <c r="L27" s="39">
        <f>F27*K27</f>
        <v>0.136</v>
      </c>
      <c r="M27" s="60" t="s">
        <v>278</v>
      </c>
      <c r="N27" s="60" t="s">
        <v>7</v>
      </c>
      <c r="O27" s="39">
        <f>IF(N27="5",I27,0)</f>
        <v>0</v>
      </c>
      <c r="Z27" s="39">
        <f>IF(AD27=0,J27,0)</f>
        <v>0</v>
      </c>
      <c r="AA27" s="39">
        <f>IF(AD27=15,J27,0)</f>
        <v>0</v>
      </c>
      <c r="AB27" s="39">
        <f>IF(AD27=21,J27,0)</f>
        <v>0</v>
      </c>
      <c r="AD27" s="64">
        <v>15</v>
      </c>
      <c r="AE27" s="64">
        <f>G27*0.493107049608355</f>
        <v>0</v>
      </c>
      <c r="AF27" s="64">
        <f>G27*(1-0.493107049608355)</f>
        <v>0</v>
      </c>
      <c r="AM27" s="64">
        <f>F27*AE27</f>
        <v>0</v>
      </c>
      <c r="AN27" s="64">
        <f>F27*AF27</f>
        <v>0</v>
      </c>
      <c r="AO27" s="65" t="s">
        <v>298</v>
      </c>
      <c r="AP27" s="65" t="s">
        <v>320</v>
      </c>
      <c r="AQ27" s="54" t="s">
        <v>327</v>
      </c>
    </row>
    <row r="28" spans="1:43" ht="12.75">
      <c r="A28" s="10" t="s">
        <v>14</v>
      </c>
      <c r="B28" s="10"/>
      <c r="C28" s="10" t="s">
        <v>74</v>
      </c>
      <c r="D28" s="10" t="s">
        <v>161</v>
      </c>
      <c r="E28" s="10" t="s">
        <v>258</v>
      </c>
      <c r="F28" s="39">
        <v>140</v>
      </c>
      <c r="G28" s="39">
        <v>0</v>
      </c>
      <c r="H28" s="39">
        <f>F28*AE28</f>
        <v>0</v>
      </c>
      <c r="I28" s="39">
        <f>J28-H28</f>
        <v>0</v>
      </c>
      <c r="J28" s="39">
        <f>F28*G28</f>
        <v>0</v>
      </c>
      <c r="K28" s="39">
        <v>0.00238</v>
      </c>
      <c r="L28" s="39">
        <f>F28*K28</f>
        <v>0.33320000000000005</v>
      </c>
      <c r="M28" s="60" t="s">
        <v>278</v>
      </c>
      <c r="N28" s="60" t="s">
        <v>7</v>
      </c>
      <c r="O28" s="39">
        <f>IF(N28="5",I28,0)</f>
        <v>0</v>
      </c>
      <c r="Z28" s="39">
        <f>IF(AD28=0,J28,0)</f>
        <v>0</v>
      </c>
      <c r="AA28" s="39">
        <f>IF(AD28=15,J28,0)</f>
        <v>0</v>
      </c>
      <c r="AB28" s="39">
        <f>IF(AD28=21,J28,0)</f>
        <v>0</v>
      </c>
      <c r="AD28" s="64">
        <v>15</v>
      </c>
      <c r="AE28" s="64">
        <f>G28*0.124381625441696</f>
        <v>0</v>
      </c>
      <c r="AF28" s="64">
        <f>G28*(1-0.124381625441696)</f>
        <v>0</v>
      </c>
      <c r="AM28" s="64">
        <f>F28*AE28</f>
        <v>0</v>
      </c>
      <c r="AN28" s="64">
        <f>F28*AF28</f>
        <v>0</v>
      </c>
      <c r="AO28" s="65" t="s">
        <v>298</v>
      </c>
      <c r="AP28" s="65" t="s">
        <v>320</v>
      </c>
      <c r="AQ28" s="54" t="s">
        <v>327</v>
      </c>
    </row>
    <row r="29" spans="1:43" ht="12.75">
      <c r="A29" s="10" t="s">
        <v>15</v>
      </c>
      <c r="B29" s="10"/>
      <c r="C29" s="10" t="s">
        <v>75</v>
      </c>
      <c r="D29" s="10" t="s">
        <v>162</v>
      </c>
      <c r="E29" s="10" t="s">
        <v>256</v>
      </c>
      <c r="F29" s="39">
        <v>55</v>
      </c>
      <c r="G29" s="39">
        <v>0</v>
      </c>
      <c r="H29" s="39">
        <f>F29*AE29</f>
        <v>0</v>
      </c>
      <c r="I29" s="39">
        <f>J29-H29</f>
        <v>0</v>
      </c>
      <c r="J29" s="39">
        <f>F29*G29</f>
        <v>0</v>
      </c>
      <c r="K29" s="39">
        <v>0.03491</v>
      </c>
      <c r="L29" s="39">
        <f>F29*K29</f>
        <v>1.9200499999999998</v>
      </c>
      <c r="M29" s="60" t="s">
        <v>278</v>
      </c>
      <c r="N29" s="60" t="s">
        <v>7</v>
      </c>
      <c r="O29" s="39">
        <f>IF(N29="5",I29,0)</f>
        <v>0</v>
      </c>
      <c r="Z29" s="39">
        <f>IF(AD29=0,J29,0)</f>
        <v>0</v>
      </c>
      <c r="AA29" s="39">
        <f>IF(AD29=15,J29,0)</f>
        <v>0</v>
      </c>
      <c r="AB29" s="39">
        <f>IF(AD29=21,J29,0)</f>
        <v>0</v>
      </c>
      <c r="AD29" s="64">
        <v>15</v>
      </c>
      <c r="AE29" s="64">
        <f>G29*0.263658536585366</f>
        <v>0</v>
      </c>
      <c r="AF29" s="64">
        <f>G29*(1-0.263658536585366)</f>
        <v>0</v>
      </c>
      <c r="AM29" s="64">
        <f>F29*AE29</f>
        <v>0</v>
      </c>
      <c r="AN29" s="64">
        <f>F29*AF29</f>
        <v>0</v>
      </c>
      <c r="AO29" s="65" t="s">
        <v>298</v>
      </c>
      <c r="AP29" s="65" t="s">
        <v>320</v>
      </c>
      <c r="AQ29" s="54" t="s">
        <v>327</v>
      </c>
    </row>
    <row r="30" spans="3:13" ht="12.75">
      <c r="C30" s="25" t="s">
        <v>62</v>
      </c>
      <c r="D30" s="30" t="s">
        <v>163</v>
      </c>
      <c r="E30" s="35"/>
      <c r="F30" s="35"/>
      <c r="G30" s="35"/>
      <c r="H30" s="35"/>
      <c r="I30" s="35"/>
      <c r="J30" s="35"/>
      <c r="K30" s="35"/>
      <c r="L30" s="35"/>
      <c r="M30" s="35"/>
    </row>
    <row r="31" spans="1:37" ht="12.75">
      <c r="A31" s="11"/>
      <c r="B31" s="24"/>
      <c r="C31" s="24" t="s">
        <v>76</v>
      </c>
      <c r="D31" s="24" t="s">
        <v>164</v>
      </c>
      <c r="E31" s="36"/>
      <c r="F31" s="36"/>
      <c r="G31" s="36"/>
      <c r="H31" s="67">
        <f>SUM(H32:H49)</f>
        <v>0</v>
      </c>
      <c r="I31" s="67">
        <f>SUM(I32:I49)</f>
        <v>0</v>
      </c>
      <c r="J31" s="67">
        <f>H31+I31</f>
        <v>0</v>
      </c>
      <c r="K31" s="54"/>
      <c r="L31" s="67">
        <f>SUM(L32:L49)</f>
        <v>18.341517999999997</v>
      </c>
      <c r="M31" s="54"/>
      <c r="P31" s="67">
        <f>IF(Q31="PR",J31,SUM(O32:O49))</f>
        <v>0</v>
      </c>
      <c r="Q31" s="54" t="s">
        <v>282</v>
      </c>
      <c r="R31" s="67">
        <f>IF(Q31="HS",H31,0)</f>
        <v>0</v>
      </c>
      <c r="S31" s="67">
        <f>IF(Q31="HS",I31-P31,0)</f>
        <v>0</v>
      </c>
      <c r="T31" s="67">
        <f>IF(Q31="PS",H31,0)</f>
        <v>0</v>
      </c>
      <c r="U31" s="67">
        <f>IF(Q31="PS",I31-P31,0)</f>
        <v>0</v>
      </c>
      <c r="V31" s="67">
        <f>IF(Q31="MP",H31,0)</f>
        <v>0</v>
      </c>
      <c r="W31" s="67">
        <f>IF(Q31="MP",I31-P31,0)</f>
        <v>0</v>
      </c>
      <c r="X31" s="67">
        <f>IF(Q31="OM",H31,0)</f>
        <v>0</v>
      </c>
      <c r="Y31" s="54"/>
      <c r="AI31" s="67">
        <f>SUM(Z32:Z49)</f>
        <v>0</v>
      </c>
      <c r="AJ31" s="67">
        <f>SUM(AA32:AA49)</f>
        <v>0</v>
      </c>
      <c r="AK31" s="67">
        <f>SUM(AB32:AB49)</f>
        <v>0</v>
      </c>
    </row>
    <row r="32" spans="1:43" ht="12.75">
      <c r="A32" s="10" t="s">
        <v>16</v>
      </c>
      <c r="B32" s="10"/>
      <c r="C32" s="10" t="s">
        <v>77</v>
      </c>
      <c r="D32" s="10" t="s">
        <v>165</v>
      </c>
      <c r="E32" s="10" t="s">
        <v>256</v>
      </c>
      <c r="F32" s="39">
        <v>492.52</v>
      </c>
      <c r="G32" s="39">
        <v>0</v>
      </c>
      <c r="H32" s="39">
        <f>F32*AE32</f>
        <v>0</v>
      </c>
      <c r="I32" s="39">
        <f>J32-H32</f>
        <v>0</v>
      </c>
      <c r="J32" s="39">
        <f>F32*G32</f>
        <v>0</v>
      </c>
      <c r="K32" s="39">
        <v>2E-05</v>
      </c>
      <c r="L32" s="39">
        <f>F32*K32</f>
        <v>0.0098504</v>
      </c>
      <c r="M32" s="60" t="s">
        <v>278</v>
      </c>
      <c r="N32" s="60" t="s">
        <v>7</v>
      </c>
      <c r="O32" s="39">
        <f>IF(N32="5",I32,0)</f>
        <v>0</v>
      </c>
      <c r="Z32" s="39">
        <f>IF(AD32=0,J32,0)</f>
        <v>0</v>
      </c>
      <c r="AA32" s="39">
        <f>IF(AD32=15,J32,0)</f>
        <v>0</v>
      </c>
      <c r="AB32" s="39">
        <f>IF(AD32=21,J32,0)</f>
        <v>0</v>
      </c>
      <c r="AD32" s="64">
        <v>15</v>
      </c>
      <c r="AE32" s="64">
        <f>G32*0.086810551558753</f>
        <v>0</v>
      </c>
      <c r="AF32" s="64">
        <f>G32*(1-0.086810551558753)</f>
        <v>0</v>
      </c>
      <c r="AM32" s="64">
        <f>F32*AE32</f>
        <v>0</v>
      </c>
      <c r="AN32" s="64">
        <f>F32*AF32</f>
        <v>0</v>
      </c>
      <c r="AO32" s="65" t="s">
        <v>299</v>
      </c>
      <c r="AP32" s="65" t="s">
        <v>320</v>
      </c>
      <c r="AQ32" s="54" t="s">
        <v>327</v>
      </c>
    </row>
    <row r="33" spans="1:43" ht="12.75">
      <c r="A33" s="10" t="s">
        <v>17</v>
      </c>
      <c r="B33" s="10"/>
      <c r="C33" s="10" t="s">
        <v>78</v>
      </c>
      <c r="D33" s="10" t="s">
        <v>166</v>
      </c>
      <c r="E33" s="10" t="s">
        <v>256</v>
      </c>
      <c r="F33" s="39">
        <v>56.14</v>
      </c>
      <c r="G33" s="39">
        <v>0</v>
      </c>
      <c r="H33" s="39">
        <f>F33*AE33</f>
        <v>0</v>
      </c>
      <c r="I33" s="39">
        <f>J33-H33</f>
        <v>0</v>
      </c>
      <c r="J33" s="39">
        <f>F33*G33</f>
        <v>0</v>
      </c>
      <c r="K33" s="39">
        <v>4E-05</v>
      </c>
      <c r="L33" s="39">
        <f>F33*K33</f>
        <v>0.0022456000000000004</v>
      </c>
      <c r="M33" s="60" t="s">
        <v>278</v>
      </c>
      <c r="N33" s="60" t="s">
        <v>7</v>
      </c>
      <c r="O33" s="39">
        <f>IF(N33="5",I33,0)</f>
        <v>0</v>
      </c>
      <c r="Z33" s="39">
        <f>IF(AD33=0,J33,0)</f>
        <v>0</v>
      </c>
      <c r="AA33" s="39">
        <f>IF(AD33=15,J33,0)</f>
        <v>0</v>
      </c>
      <c r="AB33" s="39">
        <f>IF(AD33=21,J33,0)</f>
        <v>0</v>
      </c>
      <c r="AD33" s="64">
        <v>15</v>
      </c>
      <c r="AE33" s="64">
        <f>G33*0.394</f>
        <v>0</v>
      </c>
      <c r="AF33" s="64">
        <f>G33*(1-0.394)</f>
        <v>0</v>
      </c>
      <c r="AM33" s="64">
        <f>F33*AE33</f>
        <v>0</v>
      </c>
      <c r="AN33" s="64">
        <f>F33*AF33</f>
        <v>0</v>
      </c>
      <c r="AO33" s="65" t="s">
        <v>299</v>
      </c>
      <c r="AP33" s="65" t="s">
        <v>320</v>
      </c>
      <c r="AQ33" s="54" t="s">
        <v>327</v>
      </c>
    </row>
    <row r="34" spans="1:43" ht="12.75">
      <c r="A34" s="10" t="s">
        <v>18</v>
      </c>
      <c r="B34" s="10"/>
      <c r="C34" s="10" t="s">
        <v>79</v>
      </c>
      <c r="D34" s="10" t="s">
        <v>167</v>
      </c>
      <c r="E34" s="10" t="s">
        <v>258</v>
      </c>
      <c r="F34" s="39">
        <v>140</v>
      </c>
      <c r="G34" s="39">
        <v>0</v>
      </c>
      <c r="H34" s="39">
        <f>F34*AE34</f>
        <v>0</v>
      </c>
      <c r="I34" s="39">
        <f>J34-H34</f>
        <v>0</v>
      </c>
      <c r="J34" s="39">
        <f>F34*G34</f>
        <v>0</v>
      </c>
      <c r="K34" s="39">
        <v>0.00015</v>
      </c>
      <c r="L34" s="39">
        <f>F34*K34</f>
        <v>0.020999999999999998</v>
      </c>
      <c r="M34" s="60" t="s">
        <v>278</v>
      </c>
      <c r="N34" s="60" t="s">
        <v>7</v>
      </c>
      <c r="O34" s="39">
        <f>IF(N34="5",I34,0)</f>
        <v>0</v>
      </c>
      <c r="Z34" s="39">
        <f>IF(AD34=0,J34,0)</f>
        <v>0</v>
      </c>
      <c r="AA34" s="39">
        <f>IF(AD34=15,J34,0)</f>
        <v>0</v>
      </c>
      <c r="AB34" s="39">
        <f>IF(AD34=21,J34,0)</f>
        <v>0</v>
      </c>
      <c r="AD34" s="64">
        <v>15</v>
      </c>
      <c r="AE34" s="64">
        <f>G34*0.570977917981073</f>
        <v>0</v>
      </c>
      <c r="AF34" s="64">
        <f>G34*(1-0.570977917981073)</f>
        <v>0</v>
      </c>
      <c r="AM34" s="64">
        <f>F34*AE34</f>
        <v>0</v>
      </c>
      <c r="AN34" s="64">
        <f>F34*AF34</f>
        <v>0</v>
      </c>
      <c r="AO34" s="65" t="s">
        <v>299</v>
      </c>
      <c r="AP34" s="65" t="s">
        <v>320</v>
      </c>
      <c r="AQ34" s="54" t="s">
        <v>327</v>
      </c>
    </row>
    <row r="35" spans="1:43" ht="12.75">
      <c r="A35" s="10" t="s">
        <v>19</v>
      </c>
      <c r="B35" s="10"/>
      <c r="C35" s="10" t="s">
        <v>80</v>
      </c>
      <c r="D35" s="10" t="s">
        <v>168</v>
      </c>
      <c r="E35" s="10" t="s">
        <v>256</v>
      </c>
      <c r="F35" s="39">
        <v>10.85</v>
      </c>
      <c r="G35" s="39">
        <v>0</v>
      </c>
      <c r="H35" s="39">
        <f>F35*AE35</f>
        <v>0</v>
      </c>
      <c r="I35" s="39">
        <f>J35-H35</f>
        <v>0</v>
      </c>
      <c r="J35" s="39">
        <f>F35*G35</f>
        <v>0</v>
      </c>
      <c r="K35" s="39">
        <v>0.05481</v>
      </c>
      <c r="L35" s="39">
        <f>F35*K35</f>
        <v>0.5946885</v>
      </c>
      <c r="M35" s="60" t="s">
        <v>278</v>
      </c>
      <c r="N35" s="60" t="s">
        <v>7</v>
      </c>
      <c r="O35" s="39">
        <f>IF(N35="5",I35,0)</f>
        <v>0</v>
      </c>
      <c r="Z35" s="39">
        <f>IF(AD35=0,J35,0)</f>
        <v>0</v>
      </c>
      <c r="AA35" s="39">
        <f>IF(AD35=15,J35,0)</f>
        <v>0</v>
      </c>
      <c r="AB35" s="39">
        <f>IF(AD35=21,J35,0)</f>
        <v>0</v>
      </c>
      <c r="AD35" s="64">
        <v>15</v>
      </c>
      <c r="AE35" s="64">
        <f>G35*0.10594262295082</f>
        <v>0</v>
      </c>
      <c r="AF35" s="64">
        <f>G35*(1-0.10594262295082)</f>
        <v>0</v>
      </c>
      <c r="AM35" s="64">
        <f>F35*AE35</f>
        <v>0</v>
      </c>
      <c r="AN35" s="64">
        <f>F35*AF35</f>
        <v>0</v>
      </c>
      <c r="AO35" s="65" t="s">
        <v>299</v>
      </c>
      <c r="AP35" s="65" t="s">
        <v>320</v>
      </c>
      <c r="AQ35" s="54" t="s">
        <v>327</v>
      </c>
    </row>
    <row r="36" spans="1:43" ht="12.75">
      <c r="A36" s="10" t="s">
        <v>20</v>
      </c>
      <c r="B36" s="10"/>
      <c r="C36" s="10" t="s">
        <v>81</v>
      </c>
      <c r="D36" s="10" t="s">
        <v>169</v>
      </c>
      <c r="E36" s="10" t="s">
        <v>256</v>
      </c>
      <c r="F36" s="39">
        <v>290</v>
      </c>
      <c r="G36" s="39">
        <v>0</v>
      </c>
      <c r="H36" s="39">
        <f>F36*AE36</f>
        <v>0</v>
      </c>
      <c r="I36" s="39">
        <f>J36-H36</f>
        <v>0</v>
      </c>
      <c r="J36" s="39">
        <f>F36*G36</f>
        <v>0</v>
      </c>
      <c r="K36" s="39">
        <v>0.05258</v>
      </c>
      <c r="L36" s="39">
        <f>F36*K36</f>
        <v>15.2482</v>
      </c>
      <c r="M36" s="60" t="s">
        <v>278</v>
      </c>
      <c r="N36" s="60" t="s">
        <v>7</v>
      </c>
      <c r="O36" s="39">
        <f>IF(N36="5",I36,0)</f>
        <v>0</v>
      </c>
      <c r="Z36" s="39">
        <f>IF(AD36=0,J36,0)</f>
        <v>0</v>
      </c>
      <c r="AA36" s="39">
        <f>IF(AD36=15,J36,0)</f>
        <v>0</v>
      </c>
      <c r="AB36" s="39">
        <f>IF(AD36=21,J36,0)</f>
        <v>0</v>
      </c>
      <c r="AD36" s="64">
        <v>15</v>
      </c>
      <c r="AE36" s="64">
        <f>G36*0.135558441558442</f>
        <v>0</v>
      </c>
      <c r="AF36" s="64">
        <f>G36*(1-0.135558441558442)</f>
        <v>0</v>
      </c>
      <c r="AM36" s="64">
        <f>F36*AE36</f>
        <v>0</v>
      </c>
      <c r="AN36" s="64">
        <f>F36*AF36</f>
        <v>0</v>
      </c>
      <c r="AO36" s="65" t="s">
        <v>299</v>
      </c>
      <c r="AP36" s="65" t="s">
        <v>320</v>
      </c>
      <c r="AQ36" s="54" t="s">
        <v>327</v>
      </c>
    </row>
    <row r="37" spans="1:43" ht="12.75">
      <c r="A37" s="10" t="s">
        <v>21</v>
      </c>
      <c r="B37" s="10"/>
      <c r="C37" s="10" t="s">
        <v>82</v>
      </c>
      <c r="D37" s="10" t="s">
        <v>170</v>
      </c>
      <c r="E37" s="10" t="s">
        <v>256</v>
      </c>
      <c r="F37" s="39">
        <v>355.85</v>
      </c>
      <c r="G37" s="39">
        <v>0</v>
      </c>
      <c r="H37" s="39">
        <f>F37*AE37</f>
        <v>0</v>
      </c>
      <c r="I37" s="39">
        <f>J37-H37</f>
        <v>0</v>
      </c>
      <c r="J37" s="39">
        <f>F37*G37</f>
        <v>0</v>
      </c>
      <c r="K37" s="39">
        <v>0.00053</v>
      </c>
      <c r="L37" s="39">
        <f>F37*K37</f>
        <v>0.1886005</v>
      </c>
      <c r="M37" s="60" t="s">
        <v>278</v>
      </c>
      <c r="N37" s="60" t="s">
        <v>7</v>
      </c>
      <c r="O37" s="39">
        <f>IF(N37="5",I37,0)</f>
        <v>0</v>
      </c>
      <c r="Z37" s="39">
        <f>IF(AD37=0,J37,0)</f>
        <v>0</v>
      </c>
      <c r="AA37" s="39">
        <f>IF(AD37=15,J37,0)</f>
        <v>0</v>
      </c>
      <c r="AB37" s="39">
        <f>IF(AD37=21,J37,0)</f>
        <v>0</v>
      </c>
      <c r="AD37" s="64">
        <v>15</v>
      </c>
      <c r="AE37" s="64">
        <f>G37*0.547075812274368</f>
        <v>0</v>
      </c>
      <c r="AF37" s="64">
        <f>G37*(1-0.547075812274368)</f>
        <v>0</v>
      </c>
      <c r="AM37" s="64">
        <f>F37*AE37</f>
        <v>0</v>
      </c>
      <c r="AN37" s="64">
        <f>F37*AF37</f>
        <v>0</v>
      </c>
      <c r="AO37" s="65" t="s">
        <v>299</v>
      </c>
      <c r="AP37" s="65" t="s">
        <v>320</v>
      </c>
      <c r="AQ37" s="54" t="s">
        <v>327</v>
      </c>
    </row>
    <row r="38" spans="3:13" ht="12.75">
      <c r="C38" s="25" t="s">
        <v>62</v>
      </c>
      <c r="D38" s="30" t="s">
        <v>171</v>
      </c>
      <c r="E38" s="35"/>
      <c r="F38" s="35"/>
      <c r="G38" s="35"/>
      <c r="H38" s="35"/>
      <c r="I38" s="35"/>
      <c r="J38" s="35"/>
      <c r="K38" s="35"/>
      <c r="L38" s="35"/>
      <c r="M38" s="35"/>
    </row>
    <row r="39" spans="1:43" ht="12.75">
      <c r="A39" s="10" t="s">
        <v>22</v>
      </c>
      <c r="B39" s="10"/>
      <c r="C39" s="10" t="s">
        <v>83</v>
      </c>
      <c r="D39" s="10" t="s">
        <v>172</v>
      </c>
      <c r="E39" s="10" t="s">
        <v>256</v>
      </c>
      <c r="F39" s="39">
        <v>64.3</v>
      </c>
      <c r="G39" s="39">
        <v>0</v>
      </c>
      <c r="H39" s="39">
        <f>F39*AE39</f>
        <v>0</v>
      </c>
      <c r="I39" s="39">
        <f>J39-H39</f>
        <v>0</v>
      </c>
      <c r="J39" s="39">
        <f>F39*G39</f>
        <v>0</v>
      </c>
      <c r="K39" s="39">
        <v>0.01365</v>
      </c>
      <c r="L39" s="39">
        <f>F39*K39</f>
        <v>0.877695</v>
      </c>
      <c r="M39" s="60" t="s">
        <v>278</v>
      </c>
      <c r="N39" s="60" t="s">
        <v>7</v>
      </c>
      <c r="O39" s="39">
        <f>IF(N39="5",I39,0)</f>
        <v>0</v>
      </c>
      <c r="Z39" s="39">
        <f>IF(AD39=0,J39,0)</f>
        <v>0</v>
      </c>
      <c r="AA39" s="39">
        <f>IF(AD39=15,J39,0)</f>
        <v>0</v>
      </c>
      <c r="AB39" s="39">
        <f>IF(AD39=21,J39,0)</f>
        <v>0</v>
      </c>
      <c r="AD39" s="64">
        <v>15</v>
      </c>
      <c r="AE39" s="64">
        <f>G39*0.519594755661502</f>
        <v>0</v>
      </c>
      <c r="AF39" s="64">
        <f>G39*(1-0.519594755661502)</f>
        <v>0</v>
      </c>
      <c r="AM39" s="64">
        <f>F39*AE39</f>
        <v>0</v>
      </c>
      <c r="AN39" s="64">
        <f>F39*AF39</f>
        <v>0</v>
      </c>
      <c r="AO39" s="65" t="s">
        <v>299</v>
      </c>
      <c r="AP39" s="65" t="s">
        <v>320</v>
      </c>
      <c r="AQ39" s="54" t="s">
        <v>327</v>
      </c>
    </row>
    <row r="40" spans="3:13" ht="12.75">
      <c r="C40" s="25" t="s">
        <v>62</v>
      </c>
      <c r="D40" s="30" t="s">
        <v>173</v>
      </c>
      <c r="E40" s="35"/>
      <c r="F40" s="35"/>
      <c r="G40" s="35"/>
      <c r="H40" s="35"/>
      <c r="I40" s="35"/>
      <c r="J40" s="35"/>
      <c r="K40" s="35"/>
      <c r="L40" s="35"/>
      <c r="M40" s="35"/>
    </row>
    <row r="41" spans="1:43" ht="12.75">
      <c r="A41" s="10" t="s">
        <v>23</v>
      </c>
      <c r="B41" s="10"/>
      <c r="C41" s="10" t="s">
        <v>84</v>
      </c>
      <c r="D41" s="10" t="s">
        <v>174</v>
      </c>
      <c r="E41" s="10" t="s">
        <v>258</v>
      </c>
      <c r="F41" s="39">
        <v>21.2</v>
      </c>
      <c r="G41" s="39">
        <v>0</v>
      </c>
      <c r="H41" s="39">
        <f>F41*AE41</f>
        <v>0</v>
      </c>
      <c r="I41" s="39">
        <f>J41-H41</f>
        <v>0</v>
      </c>
      <c r="J41" s="39">
        <f>F41*G41</f>
        <v>0</v>
      </c>
      <c r="K41" s="39">
        <v>0.00028</v>
      </c>
      <c r="L41" s="39">
        <f>F41*K41</f>
        <v>0.0059359999999999994</v>
      </c>
      <c r="M41" s="60" t="s">
        <v>278</v>
      </c>
      <c r="N41" s="60" t="s">
        <v>7</v>
      </c>
      <c r="O41" s="39">
        <f>IF(N41="5",I41,0)</f>
        <v>0</v>
      </c>
      <c r="Z41" s="39">
        <f>IF(AD41=0,J41,0)</f>
        <v>0</v>
      </c>
      <c r="AA41" s="39">
        <f>IF(AD41=15,J41,0)</f>
        <v>0</v>
      </c>
      <c r="AB41" s="39">
        <f>IF(AD41=21,J41,0)</f>
        <v>0</v>
      </c>
      <c r="AD41" s="64">
        <v>15</v>
      </c>
      <c r="AE41" s="64">
        <f>G41*0.605443786982249</f>
        <v>0</v>
      </c>
      <c r="AF41" s="64">
        <f>G41*(1-0.605443786982249)</f>
        <v>0</v>
      </c>
      <c r="AM41" s="64">
        <f>F41*AE41</f>
        <v>0</v>
      </c>
      <c r="AN41" s="64">
        <f>F41*AF41</f>
        <v>0</v>
      </c>
      <c r="AO41" s="65" t="s">
        <v>299</v>
      </c>
      <c r="AP41" s="65" t="s">
        <v>320</v>
      </c>
      <c r="AQ41" s="54" t="s">
        <v>327</v>
      </c>
    </row>
    <row r="42" spans="1:43" ht="12.75">
      <c r="A42" s="10" t="s">
        <v>24</v>
      </c>
      <c r="B42" s="10"/>
      <c r="C42" s="10" t="s">
        <v>85</v>
      </c>
      <c r="D42" s="10" t="s">
        <v>175</v>
      </c>
      <c r="E42" s="10" t="s">
        <v>256</v>
      </c>
      <c r="F42" s="39">
        <v>1.56</v>
      </c>
      <c r="G42" s="39">
        <v>0</v>
      </c>
      <c r="H42" s="39">
        <f>F42*AE42</f>
        <v>0</v>
      </c>
      <c r="I42" s="39">
        <f>J42-H42</f>
        <v>0</v>
      </c>
      <c r="J42" s="39">
        <f>F42*G42</f>
        <v>0</v>
      </c>
      <c r="K42" s="39">
        <v>0.0131</v>
      </c>
      <c r="L42" s="39">
        <f>F42*K42</f>
        <v>0.020436000000000003</v>
      </c>
      <c r="M42" s="60" t="s">
        <v>278</v>
      </c>
      <c r="N42" s="60" t="s">
        <v>7</v>
      </c>
      <c r="O42" s="39">
        <f>IF(N42="5",I42,0)</f>
        <v>0</v>
      </c>
      <c r="Z42" s="39">
        <f>IF(AD42=0,J42,0)</f>
        <v>0</v>
      </c>
      <c r="AA42" s="39">
        <f>IF(AD42=15,J42,0)</f>
        <v>0</v>
      </c>
      <c r="AB42" s="39">
        <f>IF(AD42=21,J42,0)</f>
        <v>0</v>
      </c>
      <c r="AD42" s="64">
        <v>15</v>
      </c>
      <c r="AE42" s="64">
        <f>G42*0.373331071913161</f>
        <v>0</v>
      </c>
      <c r="AF42" s="64">
        <f>G42*(1-0.373331071913161)</f>
        <v>0</v>
      </c>
      <c r="AM42" s="64">
        <f>F42*AE42</f>
        <v>0</v>
      </c>
      <c r="AN42" s="64">
        <f>F42*AF42</f>
        <v>0</v>
      </c>
      <c r="AO42" s="65" t="s">
        <v>299</v>
      </c>
      <c r="AP42" s="65" t="s">
        <v>320</v>
      </c>
      <c r="AQ42" s="54" t="s">
        <v>327</v>
      </c>
    </row>
    <row r="43" spans="1:43" ht="12.75">
      <c r="A43" s="10" t="s">
        <v>25</v>
      </c>
      <c r="B43" s="10"/>
      <c r="C43" s="10" t="s">
        <v>86</v>
      </c>
      <c r="D43" s="10" t="s">
        <v>176</v>
      </c>
      <c r="E43" s="10" t="s">
        <v>256</v>
      </c>
      <c r="F43" s="39">
        <v>47.3</v>
      </c>
      <c r="G43" s="39">
        <v>0</v>
      </c>
      <c r="H43" s="39">
        <f>F43*AE43</f>
        <v>0</v>
      </c>
      <c r="I43" s="39">
        <f>J43-H43</f>
        <v>0</v>
      </c>
      <c r="J43" s="39">
        <f>F43*G43</f>
        <v>0</v>
      </c>
      <c r="K43" s="39">
        <v>0.01642</v>
      </c>
      <c r="L43" s="39">
        <f>F43*K43</f>
        <v>0.776666</v>
      </c>
      <c r="M43" s="60" t="s">
        <v>278</v>
      </c>
      <c r="N43" s="60" t="s">
        <v>7</v>
      </c>
      <c r="O43" s="39">
        <f>IF(N43="5",I43,0)</f>
        <v>0</v>
      </c>
      <c r="Z43" s="39">
        <f>IF(AD43=0,J43,0)</f>
        <v>0</v>
      </c>
      <c r="AA43" s="39">
        <f>IF(AD43=15,J43,0)</f>
        <v>0</v>
      </c>
      <c r="AB43" s="39">
        <f>IF(AD43=21,J43,0)</f>
        <v>0</v>
      </c>
      <c r="AD43" s="64">
        <v>15</v>
      </c>
      <c r="AE43" s="64">
        <f>G43*0.647674825174825</f>
        <v>0</v>
      </c>
      <c r="AF43" s="64">
        <f>G43*(1-0.647674825174825)</f>
        <v>0</v>
      </c>
      <c r="AM43" s="64">
        <f>F43*AE43</f>
        <v>0</v>
      </c>
      <c r="AN43" s="64">
        <f>F43*AF43</f>
        <v>0</v>
      </c>
      <c r="AO43" s="65" t="s">
        <v>299</v>
      </c>
      <c r="AP43" s="65" t="s">
        <v>320</v>
      </c>
      <c r="AQ43" s="54" t="s">
        <v>327</v>
      </c>
    </row>
    <row r="44" spans="3:13" ht="12.75">
      <c r="C44" s="25" t="s">
        <v>62</v>
      </c>
      <c r="D44" s="30" t="s">
        <v>177</v>
      </c>
      <c r="E44" s="35"/>
      <c r="F44" s="35"/>
      <c r="G44" s="35"/>
      <c r="H44" s="35"/>
      <c r="I44" s="35"/>
      <c r="J44" s="35"/>
      <c r="K44" s="35"/>
      <c r="L44" s="35"/>
      <c r="M44" s="35"/>
    </row>
    <row r="45" spans="1:43" ht="12.75">
      <c r="A45" s="10" t="s">
        <v>26</v>
      </c>
      <c r="B45" s="10"/>
      <c r="C45" s="10" t="s">
        <v>87</v>
      </c>
      <c r="D45" s="10" t="s">
        <v>178</v>
      </c>
      <c r="E45" s="10" t="s">
        <v>256</v>
      </c>
      <c r="F45" s="39">
        <v>23.54</v>
      </c>
      <c r="G45" s="39">
        <v>0</v>
      </c>
      <c r="H45" s="39">
        <f>F45*AE45</f>
        <v>0</v>
      </c>
      <c r="I45" s="39">
        <f>J45-H45</f>
        <v>0</v>
      </c>
      <c r="J45" s="39">
        <f>F45*G45</f>
        <v>0</v>
      </c>
      <c r="K45" s="39">
        <v>0.01535</v>
      </c>
      <c r="L45" s="39">
        <f>F45*K45</f>
        <v>0.361339</v>
      </c>
      <c r="M45" s="60" t="s">
        <v>278</v>
      </c>
      <c r="N45" s="60" t="s">
        <v>7</v>
      </c>
      <c r="O45" s="39">
        <f>IF(N45="5",I45,0)</f>
        <v>0</v>
      </c>
      <c r="Z45" s="39">
        <f>IF(AD45=0,J45,0)</f>
        <v>0</v>
      </c>
      <c r="AA45" s="39">
        <f>IF(AD45=15,J45,0)</f>
        <v>0</v>
      </c>
      <c r="AB45" s="39">
        <f>IF(AD45=21,J45,0)</f>
        <v>0</v>
      </c>
      <c r="AD45" s="64">
        <v>15</v>
      </c>
      <c r="AE45" s="64">
        <f>G45*0.620113100848256</f>
        <v>0</v>
      </c>
      <c r="AF45" s="64">
        <f>G45*(1-0.620113100848256)</f>
        <v>0</v>
      </c>
      <c r="AM45" s="64">
        <f>F45*AE45</f>
        <v>0</v>
      </c>
      <c r="AN45" s="64">
        <f>F45*AF45</f>
        <v>0</v>
      </c>
      <c r="AO45" s="65" t="s">
        <v>299</v>
      </c>
      <c r="AP45" s="65" t="s">
        <v>320</v>
      </c>
      <c r="AQ45" s="54" t="s">
        <v>327</v>
      </c>
    </row>
    <row r="46" spans="3:13" ht="12.75">
      <c r="C46" s="25" t="s">
        <v>62</v>
      </c>
      <c r="D46" s="30" t="s">
        <v>179</v>
      </c>
      <c r="E46" s="35"/>
      <c r="F46" s="35"/>
      <c r="G46" s="35"/>
      <c r="H46" s="35"/>
      <c r="I46" s="35"/>
      <c r="J46" s="35"/>
      <c r="K46" s="35"/>
      <c r="L46" s="35"/>
      <c r="M46" s="35"/>
    </row>
    <row r="47" spans="1:43" ht="12.75">
      <c r="A47" s="10" t="s">
        <v>27</v>
      </c>
      <c r="B47" s="10"/>
      <c r="C47" s="10" t="s">
        <v>88</v>
      </c>
      <c r="D47" s="10" t="s">
        <v>180</v>
      </c>
      <c r="E47" s="10" t="s">
        <v>259</v>
      </c>
      <c r="F47" s="39">
        <v>40</v>
      </c>
      <c r="G47" s="39">
        <v>0</v>
      </c>
      <c r="H47" s="39">
        <f>F47*AE47</f>
        <v>0</v>
      </c>
      <c r="I47" s="39">
        <f>J47-H47</f>
        <v>0</v>
      </c>
      <c r="J47" s="39">
        <f>F47*G47</f>
        <v>0</v>
      </c>
      <c r="K47" s="39">
        <v>0</v>
      </c>
      <c r="L47" s="39">
        <f>F47*K47</f>
        <v>0</v>
      </c>
      <c r="M47" s="60" t="s">
        <v>278</v>
      </c>
      <c r="N47" s="60" t="s">
        <v>7</v>
      </c>
      <c r="O47" s="39">
        <f>IF(N47="5",I47,0)</f>
        <v>0</v>
      </c>
      <c r="Z47" s="39">
        <f>IF(AD47=0,J47,0)</f>
        <v>0</v>
      </c>
      <c r="AA47" s="39">
        <f>IF(AD47=15,J47,0)</f>
        <v>0</v>
      </c>
      <c r="AB47" s="39">
        <f>IF(AD47=21,J47,0)</f>
        <v>0</v>
      </c>
      <c r="AD47" s="64">
        <v>15</v>
      </c>
      <c r="AE47" s="64">
        <f>G47*0.695077979060776</f>
        <v>0</v>
      </c>
      <c r="AF47" s="64">
        <f>G47*(1-0.695077979060776)</f>
        <v>0</v>
      </c>
      <c r="AM47" s="64">
        <f>F47*AE47</f>
        <v>0</v>
      </c>
      <c r="AN47" s="64">
        <f>F47*AF47</f>
        <v>0</v>
      </c>
      <c r="AO47" s="65" t="s">
        <v>299</v>
      </c>
      <c r="AP47" s="65" t="s">
        <v>320</v>
      </c>
      <c r="AQ47" s="54" t="s">
        <v>327</v>
      </c>
    </row>
    <row r="48" spans="3:13" ht="12.75">
      <c r="C48" s="25" t="s">
        <v>62</v>
      </c>
      <c r="D48" s="30" t="s">
        <v>181</v>
      </c>
      <c r="E48" s="35"/>
      <c r="F48" s="35"/>
      <c r="G48" s="35"/>
      <c r="H48" s="35"/>
      <c r="I48" s="35"/>
      <c r="J48" s="35"/>
      <c r="K48" s="35"/>
      <c r="L48" s="35"/>
      <c r="M48" s="35"/>
    </row>
    <row r="49" spans="1:43" ht="12.75">
      <c r="A49" s="10" t="s">
        <v>28</v>
      </c>
      <c r="B49" s="10"/>
      <c r="C49" s="10" t="s">
        <v>89</v>
      </c>
      <c r="D49" s="10" t="s">
        <v>182</v>
      </c>
      <c r="E49" s="10" t="s">
        <v>256</v>
      </c>
      <c r="F49" s="39">
        <v>355.85</v>
      </c>
      <c r="G49" s="39">
        <v>0</v>
      </c>
      <c r="H49" s="39">
        <f>F49*AE49</f>
        <v>0</v>
      </c>
      <c r="I49" s="39">
        <f>J49-H49</f>
        <v>0</v>
      </c>
      <c r="J49" s="39">
        <f>F49*G49</f>
        <v>0</v>
      </c>
      <c r="K49" s="39">
        <v>0.00066</v>
      </c>
      <c r="L49" s="39">
        <f>F49*K49</f>
        <v>0.23486100000000001</v>
      </c>
      <c r="M49" s="60" t="s">
        <v>278</v>
      </c>
      <c r="N49" s="60" t="s">
        <v>7</v>
      </c>
      <c r="O49" s="39">
        <f>IF(N49="5",I49,0)</f>
        <v>0</v>
      </c>
      <c r="Z49" s="39">
        <f>IF(AD49=0,J49,0)</f>
        <v>0</v>
      </c>
      <c r="AA49" s="39">
        <f>IF(AD49=15,J49,0)</f>
        <v>0</v>
      </c>
      <c r="AB49" s="39">
        <f>IF(AD49=21,J49,0)</f>
        <v>0</v>
      </c>
      <c r="AD49" s="64">
        <v>15</v>
      </c>
      <c r="AE49" s="64">
        <f>G49*0.0854846982390152</f>
        <v>0</v>
      </c>
      <c r="AF49" s="64">
        <f>G49*(1-0.0854846982390152)</f>
        <v>0</v>
      </c>
      <c r="AM49" s="64">
        <f>F49*AE49</f>
        <v>0</v>
      </c>
      <c r="AN49" s="64">
        <f>F49*AF49</f>
        <v>0</v>
      </c>
      <c r="AO49" s="65" t="s">
        <v>299</v>
      </c>
      <c r="AP49" s="65" t="s">
        <v>320</v>
      </c>
      <c r="AQ49" s="54" t="s">
        <v>327</v>
      </c>
    </row>
    <row r="50" spans="3:13" ht="12.75">
      <c r="C50" s="25" t="s">
        <v>62</v>
      </c>
      <c r="D50" s="30" t="s">
        <v>183</v>
      </c>
      <c r="E50" s="35"/>
      <c r="F50" s="35"/>
      <c r="G50" s="35"/>
      <c r="H50" s="35"/>
      <c r="I50" s="35"/>
      <c r="J50" s="35"/>
      <c r="K50" s="35"/>
      <c r="L50" s="35"/>
      <c r="M50" s="35"/>
    </row>
    <row r="51" spans="1:37" ht="12.75">
      <c r="A51" s="11"/>
      <c r="B51" s="24"/>
      <c r="C51" s="24" t="s">
        <v>90</v>
      </c>
      <c r="D51" s="24" t="s">
        <v>184</v>
      </c>
      <c r="E51" s="36"/>
      <c r="F51" s="36"/>
      <c r="G51" s="36"/>
      <c r="H51" s="67">
        <f>SUM(H52:H52)</f>
        <v>0</v>
      </c>
      <c r="I51" s="67">
        <f>SUM(I52:I52)</f>
        <v>0</v>
      </c>
      <c r="J51" s="67">
        <f>H51+I51</f>
        <v>0</v>
      </c>
      <c r="K51" s="54"/>
      <c r="L51" s="67">
        <f>SUM(L52:L52)</f>
        <v>0.20639999999999997</v>
      </c>
      <c r="M51" s="54"/>
      <c r="P51" s="67">
        <f>IF(Q51="PR",J51,SUM(O52:O52))</f>
        <v>0</v>
      </c>
      <c r="Q51" s="54" t="s">
        <v>282</v>
      </c>
      <c r="R51" s="67">
        <f>IF(Q51="HS",H51,0)</f>
        <v>0</v>
      </c>
      <c r="S51" s="67">
        <f>IF(Q51="HS",I51-P51,0)</f>
        <v>0</v>
      </c>
      <c r="T51" s="67">
        <f>IF(Q51="PS",H51,0)</f>
        <v>0</v>
      </c>
      <c r="U51" s="67">
        <f>IF(Q51="PS",I51-P51,0)</f>
        <v>0</v>
      </c>
      <c r="V51" s="67">
        <f>IF(Q51="MP",H51,0)</f>
        <v>0</v>
      </c>
      <c r="W51" s="67">
        <f>IF(Q51="MP",I51-P51,0)</f>
        <v>0</v>
      </c>
      <c r="X51" s="67">
        <f>IF(Q51="OM",H51,0)</f>
        <v>0</v>
      </c>
      <c r="Y51" s="54"/>
      <c r="AI51" s="67">
        <f>SUM(Z52:Z52)</f>
        <v>0</v>
      </c>
      <c r="AJ51" s="67">
        <f>SUM(AA52:AA52)</f>
        <v>0</v>
      </c>
      <c r="AK51" s="67">
        <f>SUM(AB52:AB52)</f>
        <v>0</v>
      </c>
    </row>
    <row r="52" spans="1:43" ht="12.75">
      <c r="A52" s="10" t="s">
        <v>29</v>
      </c>
      <c r="B52" s="10"/>
      <c r="C52" s="10" t="s">
        <v>91</v>
      </c>
      <c r="D52" s="10" t="s">
        <v>185</v>
      </c>
      <c r="E52" s="10" t="s">
        <v>257</v>
      </c>
      <c r="F52" s="39">
        <v>5</v>
      </c>
      <c r="G52" s="39">
        <v>0</v>
      </c>
      <c r="H52" s="39">
        <f>F52*AE52</f>
        <v>0</v>
      </c>
      <c r="I52" s="39">
        <f>J52-H52</f>
        <v>0</v>
      </c>
      <c r="J52" s="39">
        <f>F52*G52</f>
        <v>0</v>
      </c>
      <c r="K52" s="39">
        <v>0.04128</v>
      </c>
      <c r="L52" s="39">
        <f>F52*K52</f>
        <v>0.20639999999999997</v>
      </c>
      <c r="M52" s="60" t="s">
        <v>278</v>
      </c>
      <c r="N52" s="60" t="s">
        <v>7</v>
      </c>
      <c r="O52" s="39">
        <f>IF(N52="5",I52,0)</f>
        <v>0</v>
      </c>
      <c r="Z52" s="39">
        <f>IF(AD52=0,J52,0)</f>
        <v>0</v>
      </c>
      <c r="AA52" s="39">
        <f>IF(AD52=15,J52,0)</f>
        <v>0</v>
      </c>
      <c r="AB52" s="39">
        <f>IF(AD52=21,J52,0)</f>
        <v>0</v>
      </c>
      <c r="AD52" s="64">
        <v>15</v>
      </c>
      <c r="AE52" s="64">
        <f>G52*0.306716838019614</f>
        <v>0</v>
      </c>
      <c r="AF52" s="64">
        <f>G52*(1-0.306716838019614)</f>
        <v>0</v>
      </c>
      <c r="AM52" s="64">
        <f>F52*AE52</f>
        <v>0</v>
      </c>
      <c r="AN52" s="64">
        <f>F52*AF52</f>
        <v>0</v>
      </c>
      <c r="AO52" s="65" t="s">
        <v>300</v>
      </c>
      <c r="AP52" s="65" t="s">
        <v>320</v>
      </c>
      <c r="AQ52" s="54" t="s">
        <v>327</v>
      </c>
    </row>
    <row r="53" spans="1:37" ht="12.75">
      <c r="A53" s="11"/>
      <c r="B53" s="24"/>
      <c r="C53" s="24" t="s">
        <v>92</v>
      </c>
      <c r="D53" s="24" t="s">
        <v>186</v>
      </c>
      <c r="E53" s="36"/>
      <c r="F53" s="36"/>
      <c r="G53" s="36"/>
      <c r="H53" s="67">
        <f>SUM(H54:H54)</f>
        <v>0</v>
      </c>
      <c r="I53" s="67">
        <f>SUM(I54:I54)</f>
        <v>0</v>
      </c>
      <c r="J53" s="67">
        <f>H53+I53</f>
        <v>0</v>
      </c>
      <c r="K53" s="54"/>
      <c r="L53" s="67">
        <f>SUM(L54:L54)</f>
        <v>0.0446292</v>
      </c>
      <c r="M53" s="54"/>
      <c r="P53" s="67">
        <f>IF(Q53="PR",J53,SUM(O54:O54))</f>
        <v>0</v>
      </c>
      <c r="Q53" s="54" t="s">
        <v>283</v>
      </c>
      <c r="R53" s="67">
        <f>IF(Q53="HS",H53,0)</f>
        <v>0</v>
      </c>
      <c r="S53" s="67">
        <f>IF(Q53="HS",I53-P53,0)</f>
        <v>0</v>
      </c>
      <c r="T53" s="67">
        <f>IF(Q53="PS",H53,0)</f>
        <v>0</v>
      </c>
      <c r="U53" s="67">
        <f>IF(Q53="PS",I53-P53,0)</f>
        <v>0</v>
      </c>
      <c r="V53" s="67">
        <f>IF(Q53="MP",H53,0)</f>
        <v>0</v>
      </c>
      <c r="W53" s="67">
        <f>IF(Q53="MP",I53-P53,0)</f>
        <v>0</v>
      </c>
      <c r="X53" s="67">
        <f>IF(Q53="OM",H53,0)</f>
        <v>0</v>
      </c>
      <c r="Y53" s="54"/>
      <c r="AI53" s="67">
        <f>SUM(Z54:Z54)</f>
        <v>0</v>
      </c>
      <c r="AJ53" s="67">
        <f>SUM(AA54:AA54)</f>
        <v>0</v>
      </c>
      <c r="AK53" s="67">
        <f>SUM(AB54:AB54)</f>
        <v>0</v>
      </c>
    </row>
    <row r="54" spans="1:43" ht="12.75">
      <c r="A54" s="10" t="s">
        <v>30</v>
      </c>
      <c r="B54" s="10"/>
      <c r="C54" s="10" t="s">
        <v>93</v>
      </c>
      <c r="D54" s="10" t="s">
        <v>187</v>
      </c>
      <c r="E54" s="10" t="s">
        <v>256</v>
      </c>
      <c r="F54" s="39">
        <v>70.84</v>
      </c>
      <c r="G54" s="39">
        <v>0</v>
      </c>
      <c r="H54" s="39">
        <f>F54*AE54</f>
        <v>0</v>
      </c>
      <c r="I54" s="39">
        <f>J54-H54</f>
        <v>0</v>
      </c>
      <c r="J54" s="39">
        <f>F54*G54</f>
        <v>0</v>
      </c>
      <c r="K54" s="39">
        <v>0.00063</v>
      </c>
      <c r="L54" s="39">
        <f>F54*K54</f>
        <v>0.0446292</v>
      </c>
      <c r="M54" s="60" t="s">
        <v>278</v>
      </c>
      <c r="N54" s="60" t="s">
        <v>7</v>
      </c>
      <c r="O54" s="39">
        <f>IF(N54="5",I54,0)</f>
        <v>0</v>
      </c>
      <c r="Z54" s="39">
        <f>IF(AD54=0,J54,0)</f>
        <v>0</v>
      </c>
      <c r="AA54" s="39">
        <f>IF(AD54=15,J54,0)</f>
        <v>0</v>
      </c>
      <c r="AB54" s="39">
        <f>IF(AD54=21,J54,0)</f>
        <v>0</v>
      </c>
      <c r="AD54" s="64">
        <v>15</v>
      </c>
      <c r="AE54" s="64">
        <f>G54*0.515813953488372</f>
        <v>0</v>
      </c>
      <c r="AF54" s="64">
        <f>G54*(1-0.515813953488372)</f>
        <v>0</v>
      </c>
      <c r="AM54" s="64">
        <f>F54*AE54</f>
        <v>0</v>
      </c>
      <c r="AN54" s="64">
        <f>F54*AF54</f>
        <v>0</v>
      </c>
      <c r="AO54" s="65" t="s">
        <v>301</v>
      </c>
      <c r="AP54" s="65" t="s">
        <v>321</v>
      </c>
      <c r="AQ54" s="54" t="s">
        <v>327</v>
      </c>
    </row>
    <row r="55" spans="3:13" ht="12.75">
      <c r="C55" s="25" t="s">
        <v>62</v>
      </c>
      <c r="D55" s="30" t="s">
        <v>188</v>
      </c>
      <c r="E55" s="35"/>
      <c r="F55" s="35"/>
      <c r="G55" s="35"/>
      <c r="H55" s="35"/>
      <c r="I55" s="35"/>
      <c r="J55" s="35"/>
      <c r="K55" s="35"/>
      <c r="L55" s="35"/>
      <c r="M55" s="35"/>
    </row>
    <row r="56" spans="1:37" ht="12.75">
      <c r="A56" s="11"/>
      <c r="B56" s="24"/>
      <c r="C56" s="24" t="s">
        <v>94</v>
      </c>
      <c r="D56" s="24" t="s">
        <v>189</v>
      </c>
      <c r="E56" s="36"/>
      <c r="F56" s="36"/>
      <c r="G56" s="36"/>
      <c r="H56" s="67">
        <f>SUM(H57:H57)</f>
        <v>0</v>
      </c>
      <c r="I56" s="67">
        <f>SUM(I57:I57)</f>
        <v>0</v>
      </c>
      <c r="J56" s="67">
        <f>H56+I56</f>
        <v>0</v>
      </c>
      <c r="K56" s="54"/>
      <c r="L56" s="67">
        <f>SUM(L57:L57)</f>
        <v>0.014</v>
      </c>
      <c r="M56" s="54"/>
      <c r="P56" s="67">
        <f>IF(Q56="PR",J56,SUM(O57:O57))</f>
        <v>0</v>
      </c>
      <c r="Q56" s="54" t="s">
        <v>283</v>
      </c>
      <c r="R56" s="67">
        <f>IF(Q56="HS",H56,0)</f>
        <v>0</v>
      </c>
      <c r="S56" s="67">
        <f>IF(Q56="HS",I56-P56,0)</f>
        <v>0</v>
      </c>
      <c r="T56" s="67">
        <f>IF(Q56="PS",H56,0)</f>
        <v>0</v>
      </c>
      <c r="U56" s="67">
        <f>IF(Q56="PS",I56-P56,0)</f>
        <v>0</v>
      </c>
      <c r="V56" s="67">
        <f>IF(Q56="MP",H56,0)</f>
        <v>0</v>
      </c>
      <c r="W56" s="67">
        <f>IF(Q56="MP",I56-P56,0)</f>
        <v>0</v>
      </c>
      <c r="X56" s="67">
        <f>IF(Q56="OM",H56,0)</f>
        <v>0</v>
      </c>
      <c r="Y56" s="54"/>
      <c r="AI56" s="67">
        <f>SUM(Z57:Z57)</f>
        <v>0</v>
      </c>
      <c r="AJ56" s="67">
        <f>SUM(AA57:AA57)</f>
        <v>0</v>
      </c>
      <c r="AK56" s="67">
        <f>SUM(AB57:AB57)</f>
        <v>0</v>
      </c>
    </row>
    <row r="57" spans="1:43" ht="12.75">
      <c r="A57" s="10" t="s">
        <v>31</v>
      </c>
      <c r="B57" s="10"/>
      <c r="C57" s="10" t="s">
        <v>95</v>
      </c>
      <c r="D57" s="10" t="s">
        <v>190</v>
      </c>
      <c r="E57" s="10" t="s">
        <v>260</v>
      </c>
      <c r="F57" s="39">
        <v>1</v>
      </c>
      <c r="G57" s="39">
        <v>0</v>
      </c>
      <c r="H57" s="39">
        <f>F57*AE57</f>
        <v>0</v>
      </c>
      <c r="I57" s="39">
        <f>J57-H57</f>
        <v>0</v>
      </c>
      <c r="J57" s="39">
        <f>F57*G57</f>
        <v>0</v>
      </c>
      <c r="K57" s="39">
        <v>0.014</v>
      </c>
      <c r="L57" s="39">
        <f>F57*K57</f>
        <v>0.014</v>
      </c>
      <c r="M57" s="60" t="s">
        <v>278</v>
      </c>
      <c r="N57" s="60" t="s">
        <v>7</v>
      </c>
      <c r="O57" s="39">
        <f>IF(N57="5",I57,0)</f>
        <v>0</v>
      </c>
      <c r="Z57" s="39">
        <f>IF(AD57=0,J57,0)</f>
        <v>0</v>
      </c>
      <c r="AA57" s="39">
        <f>IF(AD57=15,J57,0)</f>
        <v>0</v>
      </c>
      <c r="AB57" s="39">
        <f>IF(AD57=21,J57,0)</f>
        <v>0</v>
      </c>
      <c r="AD57" s="64">
        <v>15</v>
      </c>
      <c r="AE57" s="64">
        <f>G57*0</f>
        <v>0</v>
      </c>
      <c r="AF57" s="64">
        <f>G57*(1-0)</f>
        <v>0</v>
      </c>
      <c r="AM57" s="64">
        <f>F57*AE57</f>
        <v>0</v>
      </c>
      <c r="AN57" s="64">
        <f>F57*AF57</f>
        <v>0</v>
      </c>
      <c r="AO57" s="65" t="s">
        <v>302</v>
      </c>
      <c r="AP57" s="65" t="s">
        <v>322</v>
      </c>
      <c r="AQ57" s="54" t="s">
        <v>327</v>
      </c>
    </row>
    <row r="58" spans="3:13" ht="12.75">
      <c r="C58" s="25" t="s">
        <v>62</v>
      </c>
      <c r="D58" s="30" t="s">
        <v>191</v>
      </c>
      <c r="E58" s="35"/>
      <c r="F58" s="35"/>
      <c r="G58" s="35"/>
      <c r="H58" s="35"/>
      <c r="I58" s="35"/>
      <c r="J58" s="35"/>
      <c r="K58" s="35"/>
      <c r="L58" s="35"/>
      <c r="M58" s="35"/>
    </row>
    <row r="59" spans="1:37" ht="12.75">
      <c r="A59" s="11"/>
      <c r="B59" s="24"/>
      <c r="C59" s="24" t="s">
        <v>96</v>
      </c>
      <c r="D59" s="24" t="s">
        <v>192</v>
      </c>
      <c r="E59" s="36"/>
      <c r="F59" s="36"/>
      <c r="G59" s="36"/>
      <c r="H59" s="67">
        <f>SUM(H60:H62)</f>
        <v>0</v>
      </c>
      <c r="I59" s="67">
        <f>SUM(I60:I62)</f>
        <v>0</v>
      </c>
      <c r="J59" s="67">
        <f>H59+I59</f>
        <v>0</v>
      </c>
      <c r="K59" s="54"/>
      <c r="L59" s="67">
        <f>SUM(L60:L62)</f>
        <v>0.19836</v>
      </c>
      <c r="M59" s="54"/>
      <c r="P59" s="67">
        <f>IF(Q59="PR",J59,SUM(O60:O62))</f>
        <v>0</v>
      </c>
      <c r="Q59" s="54" t="s">
        <v>283</v>
      </c>
      <c r="R59" s="67">
        <f>IF(Q59="HS",H59,0)</f>
        <v>0</v>
      </c>
      <c r="S59" s="67">
        <f>IF(Q59="HS",I59-P59,0)</f>
        <v>0</v>
      </c>
      <c r="T59" s="67">
        <f>IF(Q59="PS",H59,0)</f>
        <v>0</v>
      </c>
      <c r="U59" s="67">
        <f>IF(Q59="PS",I59-P59,0)</f>
        <v>0</v>
      </c>
      <c r="V59" s="67">
        <f>IF(Q59="MP",H59,0)</f>
        <v>0</v>
      </c>
      <c r="W59" s="67">
        <f>IF(Q59="MP",I59-P59,0)</f>
        <v>0</v>
      </c>
      <c r="X59" s="67">
        <f>IF(Q59="OM",H59,0)</f>
        <v>0</v>
      </c>
      <c r="Y59" s="54"/>
      <c r="AI59" s="67">
        <f>SUM(Z60:Z62)</f>
        <v>0</v>
      </c>
      <c r="AJ59" s="67">
        <f>SUM(AA60:AA62)</f>
        <v>0</v>
      </c>
      <c r="AK59" s="67">
        <f>SUM(AB60:AB62)</f>
        <v>0</v>
      </c>
    </row>
    <row r="60" spans="1:43" ht="12.75">
      <c r="A60" s="10" t="s">
        <v>32</v>
      </c>
      <c r="B60" s="10"/>
      <c r="C60" s="10" t="s">
        <v>97</v>
      </c>
      <c r="D60" s="10" t="s">
        <v>193</v>
      </c>
      <c r="E60" s="10" t="s">
        <v>258</v>
      </c>
      <c r="F60" s="39">
        <v>1</v>
      </c>
      <c r="G60" s="39">
        <v>0</v>
      </c>
      <c r="H60" s="39">
        <f>F60*AE60</f>
        <v>0</v>
      </c>
      <c r="I60" s="39">
        <f>J60-H60</f>
        <v>0</v>
      </c>
      <c r="J60" s="39">
        <f>F60*G60</f>
        <v>0</v>
      </c>
      <c r="K60" s="39">
        <v>0.00181</v>
      </c>
      <c r="L60" s="39">
        <f>F60*K60</f>
        <v>0.00181</v>
      </c>
      <c r="M60" s="60" t="s">
        <v>278</v>
      </c>
      <c r="N60" s="60" t="s">
        <v>9</v>
      </c>
      <c r="O60" s="39">
        <f>IF(N60="5",I60,0)</f>
        <v>0</v>
      </c>
      <c r="Z60" s="39">
        <f>IF(AD60=0,J60,0)</f>
        <v>0</v>
      </c>
      <c r="AA60" s="39">
        <f>IF(AD60=15,J60,0)</f>
        <v>0</v>
      </c>
      <c r="AB60" s="39">
        <f>IF(AD60=21,J60,0)</f>
        <v>0</v>
      </c>
      <c r="AD60" s="64">
        <v>15</v>
      </c>
      <c r="AE60" s="64">
        <f>G60*0</f>
        <v>0</v>
      </c>
      <c r="AF60" s="64">
        <f>G60*(1-0)</f>
        <v>0</v>
      </c>
      <c r="AM60" s="64">
        <f>F60*AE60</f>
        <v>0</v>
      </c>
      <c r="AN60" s="64">
        <f>F60*AF60</f>
        <v>0</v>
      </c>
      <c r="AO60" s="65" t="s">
        <v>303</v>
      </c>
      <c r="AP60" s="65" t="s">
        <v>322</v>
      </c>
      <c r="AQ60" s="54" t="s">
        <v>327</v>
      </c>
    </row>
    <row r="61" spans="1:43" ht="12.75">
      <c r="A61" s="10" t="s">
        <v>33</v>
      </c>
      <c r="B61" s="10"/>
      <c r="C61" s="10" t="s">
        <v>98</v>
      </c>
      <c r="D61" s="10" t="s">
        <v>194</v>
      </c>
      <c r="E61" s="10" t="s">
        <v>258</v>
      </c>
      <c r="F61" s="39">
        <v>40</v>
      </c>
      <c r="G61" s="39">
        <v>0</v>
      </c>
      <c r="H61" s="39">
        <f>F61*AE61</f>
        <v>0</v>
      </c>
      <c r="I61" s="39">
        <f>J61-H61</f>
        <v>0</v>
      </c>
      <c r="J61" s="39">
        <f>F61*G61</f>
        <v>0</v>
      </c>
      <c r="K61" s="39">
        <v>0.00109</v>
      </c>
      <c r="L61" s="39">
        <f>F61*K61</f>
        <v>0.0436</v>
      </c>
      <c r="M61" s="60" t="s">
        <v>278</v>
      </c>
      <c r="N61" s="60" t="s">
        <v>7</v>
      </c>
      <c r="O61" s="39">
        <f>IF(N61="5",I61,0)</f>
        <v>0</v>
      </c>
      <c r="Z61" s="39">
        <f>IF(AD61=0,J61,0)</f>
        <v>0</v>
      </c>
      <c r="AA61" s="39">
        <f>IF(AD61=15,J61,0)</f>
        <v>0</v>
      </c>
      <c r="AB61" s="39">
        <f>IF(AD61=21,J61,0)</f>
        <v>0</v>
      </c>
      <c r="AD61" s="64">
        <v>15</v>
      </c>
      <c r="AE61" s="64">
        <f>G61*0.650276886176855</f>
        <v>0</v>
      </c>
      <c r="AF61" s="64">
        <f>G61*(1-0.650276886176855)</f>
        <v>0</v>
      </c>
      <c r="AM61" s="64">
        <f>F61*AE61</f>
        <v>0</v>
      </c>
      <c r="AN61" s="64">
        <f>F61*AF61</f>
        <v>0</v>
      </c>
      <c r="AO61" s="65" t="s">
        <v>303</v>
      </c>
      <c r="AP61" s="65" t="s">
        <v>322</v>
      </c>
      <c r="AQ61" s="54" t="s">
        <v>327</v>
      </c>
    </row>
    <row r="62" spans="1:43" ht="12.75">
      <c r="A62" s="10" t="s">
        <v>34</v>
      </c>
      <c r="B62" s="10"/>
      <c r="C62" s="10" t="s">
        <v>99</v>
      </c>
      <c r="D62" s="10" t="s">
        <v>195</v>
      </c>
      <c r="E62" s="10" t="s">
        <v>259</v>
      </c>
      <c r="F62" s="39">
        <v>35</v>
      </c>
      <c r="G62" s="39">
        <v>0</v>
      </c>
      <c r="H62" s="39">
        <f>F62*AE62</f>
        <v>0</v>
      </c>
      <c r="I62" s="39">
        <f>J62-H62</f>
        <v>0</v>
      </c>
      <c r="J62" s="39">
        <f>F62*G62</f>
        <v>0</v>
      </c>
      <c r="K62" s="39">
        <v>0.00437</v>
      </c>
      <c r="L62" s="39">
        <f>F62*K62</f>
        <v>0.15295</v>
      </c>
      <c r="M62" s="60" t="s">
        <v>278</v>
      </c>
      <c r="N62" s="60" t="s">
        <v>7</v>
      </c>
      <c r="O62" s="39">
        <f>IF(N62="5",I62,0)</f>
        <v>0</v>
      </c>
      <c r="Z62" s="39">
        <f>IF(AD62=0,J62,0)</f>
        <v>0</v>
      </c>
      <c r="AA62" s="39">
        <f>IF(AD62=15,J62,0)</f>
        <v>0</v>
      </c>
      <c r="AB62" s="39">
        <f>IF(AD62=21,J62,0)</f>
        <v>0</v>
      </c>
      <c r="AD62" s="64">
        <v>15</v>
      </c>
      <c r="AE62" s="64">
        <f>G62*0.785066666666667</f>
        <v>0</v>
      </c>
      <c r="AF62" s="64">
        <f>G62*(1-0.785066666666667)</f>
        <v>0</v>
      </c>
      <c r="AM62" s="64">
        <f>F62*AE62</f>
        <v>0</v>
      </c>
      <c r="AN62" s="64">
        <f>F62*AF62</f>
        <v>0</v>
      </c>
      <c r="AO62" s="65" t="s">
        <v>303</v>
      </c>
      <c r="AP62" s="65" t="s">
        <v>322</v>
      </c>
      <c r="AQ62" s="54" t="s">
        <v>327</v>
      </c>
    </row>
    <row r="63" spans="3:13" ht="25.5" customHeight="1">
      <c r="C63" s="25" t="s">
        <v>62</v>
      </c>
      <c r="D63" s="30" t="s">
        <v>196</v>
      </c>
      <c r="E63" s="35"/>
      <c r="F63" s="35"/>
      <c r="G63" s="35"/>
      <c r="H63" s="35"/>
      <c r="I63" s="35"/>
      <c r="J63" s="35"/>
      <c r="K63" s="35"/>
      <c r="L63" s="35"/>
      <c r="M63" s="35"/>
    </row>
    <row r="64" spans="1:37" ht="12.75">
      <c r="A64" s="11"/>
      <c r="B64" s="24"/>
      <c r="C64" s="24" t="s">
        <v>100</v>
      </c>
      <c r="D64" s="24" t="s">
        <v>197</v>
      </c>
      <c r="E64" s="36"/>
      <c r="F64" s="36"/>
      <c r="G64" s="36"/>
      <c r="H64" s="67">
        <f>SUM(H65:H66)</f>
        <v>0</v>
      </c>
      <c r="I64" s="67">
        <f>SUM(I65:I66)</f>
        <v>0</v>
      </c>
      <c r="J64" s="67">
        <f>H64+I64</f>
        <v>0</v>
      </c>
      <c r="K64" s="54"/>
      <c r="L64" s="67">
        <f>SUM(L65:L66)</f>
        <v>0.09415000000000001</v>
      </c>
      <c r="M64" s="54"/>
      <c r="P64" s="67">
        <f>IF(Q64="PR",J64,SUM(O65:O66))</f>
        <v>0</v>
      </c>
      <c r="Q64" s="54" t="s">
        <v>283</v>
      </c>
      <c r="R64" s="67">
        <f>IF(Q64="HS",H64,0)</f>
        <v>0</v>
      </c>
      <c r="S64" s="67">
        <f>IF(Q64="HS",I64-P64,0)</f>
        <v>0</v>
      </c>
      <c r="T64" s="67">
        <f>IF(Q64="PS",H64,0)</f>
        <v>0</v>
      </c>
      <c r="U64" s="67">
        <f>IF(Q64="PS",I64-P64,0)</f>
        <v>0</v>
      </c>
      <c r="V64" s="67">
        <f>IF(Q64="MP",H64,0)</f>
        <v>0</v>
      </c>
      <c r="W64" s="67">
        <f>IF(Q64="MP",I64-P64,0)</f>
        <v>0</v>
      </c>
      <c r="X64" s="67">
        <f>IF(Q64="OM",H64,0)</f>
        <v>0</v>
      </c>
      <c r="Y64" s="54"/>
      <c r="AI64" s="67">
        <f>SUM(Z65:Z66)</f>
        <v>0</v>
      </c>
      <c r="AJ64" s="67">
        <f>SUM(AA65:AA66)</f>
        <v>0</v>
      </c>
      <c r="AK64" s="67">
        <f>SUM(AB65:AB66)</f>
        <v>0</v>
      </c>
    </row>
    <row r="65" spans="1:43" ht="12.75">
      <c r="A65" s="10" t="s">
        <v>35</v>
      </c>
      <c r="B65" s="10"/>
      <c r="C65" s="10" t="s">
        <v>101</v>
      </c>
      <c r="D65" s="10" t="s">
        <v>198</v>
      </c>
      <c r="E65" s="10" t="s">
        <v>257</v>
      </c>
      <c r="F65" s="39">
        <v>5</v>
      </c>
      <c r="G65" s="39">
        <v>0</v>
      </c>
      <c r="H65" s="39">
        <f>F65*AE65</f>
        <v>0</v>
      </c>
      <c r="I65" s="39">
        <f>J65-H65</f>
        <v>0</v>
      </c>
      <c r="J65" s="39">
        <f>F65*G65</f>
        <v>0</v>
      </c>
      <c r="K65" s="39">
        <v>0.00158</v>
      </c>
      <c r="L65" s="39">
        <f>F65*K65</f>
        <v>0.0079</v>
      </c>
      <c r="M65" s="60" t="s">
        <v>278</v>
      </c>
      <c r="N65" s="60" t="s">
        <v>7</v>
      </c>
      <c r="O65" s="39">
        <f>IF(N65="5",I65,0)</f>
        <v>0</v>
      </c>
      <c r="Z65" s="39">
        <f>IF(AD65=0,J65,0)</f>
        <v>0</v>
      </c>
      <c r="AA65" s="39">
        <f>IF(AD65=15,J65,0)</f>
        <v>0</v>
      </c>
      <c r="AB65" s="39">
        <f>IF(AD65=21,J65,0)</f>
        <v>0</v>
      </c>
      <c r="AD65" s="64">
        <v>15</v>
      </c>
      <c r="AE65" s="64">
        <f>G65*0.539398998330551</f>
        <v>0</v>
      </c>
      <c r="AF65" s="64">
        <f>G65*(1-0.539398998330551)</f>
        <v>0</v>
      </c>
      <c r="AM65" s="64">
        <f>F65*AE65</f>
        <v>0</v>
      </c>
      <c r="AN65" s="64">
        <f>F65*AF65</f>
        <v>0</v>
      </c>
      <c r="AO65" s="65" t="s">
        <v>304</v>
      </c>
      <c r="AP65" s="65" t="s">
        <v>322</v>
      </c>
      <c r="AQ65" s="54" t="s">
        <v>327</v>
      </c>
    </row>
    <row r="66" spans="1:43" ht="12.75">
      <c r="A66" s="10" t="s">
        <v>36</v>
      </c>
      <c r="B66" s="10"/>
      <c r="C66" s="10" t="s">
        <v>102</v>
      </c>
      <c r="D66" s="10" t="s">
        <v>199</v>
      </c>
      <c r="E66" s="10" t="s">
        <v>257</v>
      </c>
      <c r="F66" s="39">
        <v>5</v>
      </c>
      <c r="G66" s="39">
        <v>0</v>
      </c>
      <c r="H66" s="39">
        <f>F66*AE66</f>
        <v>0</v>
      </c>
      <c r="I66" s="39">
        <f>J66-H66</f>
        <v>0</v>
      </c>
      <c r="J66" s="39">
        <f>F66*G66</f>
        <v>0</v>
      </c>
      <c r="K66" s="39">
        <v>0.01725</v>
      </c>
      <c r="L66" s="39">
        <f>F66*K66</f>
        <v>0.08625000000000001</v>
      </c>
      <c r="M66" s="60" t="s">
        <v>278</v>
      </c>
      <c r="N66" s="60" t="s">
        <v>9</v>
      </c>
      <c r="O66" s="39">
        <f>IF(N66="5",I66,0)</f>
        <v>0</v>
      </c>
      <c r="Z66" s="39">
        <f>IF(AD66=0,J66,0)</f>
        <v>0</v>
      </c>
      <c r="AA66" s="39">
        <f>IF(AD66=15,J66,0)</f>
        <v>0</v>
      </c>
      <c r="AB66" s="39">
        <f>IF(AD66=21,J66,0)</f>
        <v>0</v>
      </c>
      <c r="AD66" s="64">
        <v>15</v>
      </c>
      <c r="AE66" s="64">
        <f>G66*0.815073809523809</f>
        <v>0</v>
      </c>
      <c r="AF66" s="64">
        <f>G66*(1-0.815073809523809)</f>
        <v>0</v>
      </c>
      <c r="AM66" s="64">
        <f>F66*AE66</f>
        <v>0</v>
      </c>
      <c r="AN66" s="64">
        <f>F66*AF66</f>
        <v>0</v>
      </c>
      <c r="AO66" s="65" t="s">
        <v>304</v>
      </c>
      <c r="AP66" s="65" t="s">
        <v>322</v>
      </c>
      <c r="AQ66" s="54" t="s">
        <v>327</v>
      </c>
    </row>
    <row r="67" spans="1:37" ht="12.75">
      <c r="A67" s="11"/>
      <c r="B67" s="24"/>
      <c r="C67" s="24" t="s">
        <v>103</v>
      </c>
      <c r="D67" s="24" t="s">
        <v>200</v>
      </c>
      <c r="E67" s="36"/>
      <c r="F67" s="36"/>
      <c r="G67" s="36"/>
      <c r="H67" s="67">
        <f>SUM(H68:H68)</f>
        <v>0</v>
      </c>
      <c r="I67" s="67">
        <f>SUM(I68:I68)</f>
        <v>0</v>
      </c>
      <c r="J67" s="67">
        <f>H67+I67</f>
        <v>0</v>
      </c>
      <c r="K67" s="54"/>
      <c r="L67" s="67">
        <f>SUM(L68:L68)</f>
        <v>0.0008420000000000001</v>
      </c>
      <c r="M67" s="54"/>
      <c r="P67" s="67">
        <f>IF(Q67="PR",J67,SUM(O68:O68))</f>
        <v>0</v>
      </c>
      <c r="Q67" s="54" t="s">
        <v>283</v>
      </c>
      <c r="R67" s="67">
        <f>IF(Q67="HS",H67,0)</f>
        <v>0</v>
      </c>
      <c r="S67" s="67">
        <f>IF(Q67="HS",I67-P67,0)</f>
        <v>0</v>
      </c>
      <c r="T67" s="67">
        <f>IF(Q67="PS",H67,0)</f>
        <v>0</v>
      </c>
      <c r="U67" s="67">
        <f>IF(Q67="PS",I67-P67,0)</f>
        <v>0</v>
      </c>
      <c r="V67" s="67">
        <f>IF(Q67="MP",H67,0)</f>
        <v>0</v>
      </c>
      <c r="W67" s="67">
        <f>IF(Q67="MP",I67-P67,0)</f>
        <v>0</v>
      </c>
      <c r="X67" s="67">
        <f>IF(Q67="OM",H67,0)</f>
        <v>0</v>
      </c>
      <c r="Y67" s="54"/>
      <c r="AI67" s="67">
        <f>SUM(Z68:Z68)</f>
        <v>0</v>
      </c>
      <c r="AJ67" s="67">
        <f>SUM(AA68:AA68)</f>
        <v>0</v>
      </c>
      <c r="AK67" s="67">
        <f>SUM(AB68:AB68)</f>
        <v>0</v>
      </c>
    </row>
    <row r="68" spans="1:43" ht="12.75">
      <c r="A68" s="10" t="s">
        <v>37</v>
      </c>
      <c r="B68" s="10"/>
      <c r="C68" s="10" t="s">
        <v>104</v>
      </c>
      <c r="D68" s="10" t="s">
        <v>201</v>
      </c>
      <c r="E68" s="10" t="s">
        <v>258</v>
      </c>
      <c r="F68" s="39">
        <v>42.1</v>
      </c>
      <c r="G68" s="39">
        <v>0</v>
      </c>
      <c r="H68" s="39">
        <f>F68*AE68</f>
        <v>0</v>
      </c>
      <c r="I68" s="39">
        <f>J68-H68</f>
        <v>0</v>
      </c>
      <c r="J68" s="39">
        <f>F68*G68</f>
        <v>0</v>
      </c>
      <c r="K68" s="39">
        <v>2E-05</v>
      </c>
      <c r="L68" s="39">
        <f>F68*K68</f>
        <v>0.0008420000000000001</v>
      </c>
      <c r="M68" s="60" t="s">
        <v>278</v>
      </c>
      <c r="N68" s="60" t="s">
        <v>7</v>
      </c>
      <c r="O68" s="39">
        <f>IF(N68="5",I68,0)</f>
        <v>0</v>
      </c>
      <c r="Z68" s="39">
        <f>IF(AD68=0,J68,0)</f>
        <v>0</v>
      </c>
      <c r="AA68" s="39">
        <f>IF(AD68=15,J68,0)</f>
        <v>0</v>
      </c>
      <c r="AB68" s="39">
        <f>IF(AD68=21,J68,0)</f>
        <v>0</v>
      </c>
      <c r="AD68" s="64">
        <v>15</v>
      </c>
      <c r="AE68" s="64">
        <f>G68*0.0229545572309446</f>
        <v>0</v>
      </c>
      <c r="AF68" s="64">
        <f>G68*(1-0.0229545572309446)</f>
        <v>0</v>
      </c>
      <c r="AM68" s="64">
        <f>F68*AE68</f>
        <v>0</v>
      </c>
      <c r="AN68" s="64">
        <f>F68*AF68</f>
        <v>0</v>
      </c>
      <c r="AO68" s="65" t="s">
        <v>305</v>
      </c>
      <c r="AP68" s="65" t="s">
        <v>322</v>
      </c>
      <c r="AQ68" s="54" t="s">
        <v>327</v>
      </c>
    </row>
    <row r="69" spans="1:37" ht="12.75">
      <c r="A69" s="11"/>
      <c r="B69" s="24"/>
      <c r="C69" s="24" t="s">
        <v>105</v>
      </c>
      <c r="D69" s="24" t="s">
        <v>202</v>
      </c>
      <c r="E69" s="36"/>
      <c r="F69" s="36"/>
      <c r="G69" s="36"/>
      <c r="H69" s="67">
        <f>SUM(H70:H70)</f>
        <v>0</v>
      </c>
      <c r="I69" s="67">
        <f>SUM(I70:I70)</f>
        <v>0</v>
      </c>
      <c r="J69" s="67">
        <f>H69+I69</f>
        <v>0</v>
      </c>
      <c r="K69" s="54"/>
      <c r="L69" s="67">
        <f>SUM(L70:L70)</f>
        <v>0.00082</v>
      </c>
      <c r="M69" s="54"/>
      <c r="P69" s="67">
        <f>IF(Q69="PR",J69,SUM(O70:O70))</f>
        <v>0</v>
      </c>
      <c r="Q69" s="54" t="s">
        <v>283</v>
      </c>
      <c r="R69" s="67">
        <f>IF(Q69="HS",H69,0)</f>
        <v>0</v>
      </c>
      <c r="S69" s="67">
        <f>IF(Q69="HS",I69-P69,0)</f>
        <v>0</v>
      </c>
      <c r="T69" s="67">
        <f>IF(Q69="PS",H69,0)</f>
        <v>0</v>
      </c>
      <c r="U69" s="67">
        <f>IF(Q69="PS",I69-P69,0)</f>
        <v>0</v>
      </c>
      <c r="V69" s="67">
        <f>IF(Q69="MP",H69,0)</f>
        <v>0</v>
      </c>
      <c r="W69" s="67">
        <f>IF(Q69="MP",I69-P69,0)</f>
        <v>0</v>
      </c>
      <c r="X69" s="67">
        <f>IF(Q69="OM",H69,0)</f>
        <v>0</v>
      </c>
      <c r="Y69" s="54"/>
      <c r="AI69" s="67">
        <f>SUM(Z70:Z70)</f>
        <v>0</v>
      </c>
      <c r="AJ69" s="67">
        <f>SUM(AA70:AA70)</f>
        <v>0</v>
      </c>
      <c r="AK69" s="67">
        <f>SUM(AB70:AB70)</f>
        <v>0</v>
      </c>
    </row>
    <row r="70" spans="1:43" ht="12.75">
      <c r="A70" s="10" t="s">
        <v>38</v>
      </c>
      <c r="B70" s="10"/>
      <c r="C70" s="10" t="s">
        <v>106</v>
      </c>
      <c r="D70" s="10" t="s">
        <v>203</v>
      </c>
      <c r="E70" s="10" t="s">
        <v>256</v>
      </c>
      <c r="F70" s="39">
        <v>2</v>
      </c>
      <c r="G70" s="39">
        <v>0</v>
      </c>
      <c r="H70" s="39">
        <f>F70*AE70</f>
        <v>0</v>
      </c>
      <c r="I70" s="39">
        <f>J70-H70</f>
        <v>0</v>
      </c>
      <c r="J70" s="39">
        <f>F70*G70</f>
        <v>0</v>
      </c>
      <c r="K70" s="39">
        <v>0.00041</v>
      </c>
      <c r="L70" s="39">
        <f>F70*K70</f>
        <v>0.00082</v>
      </c>
      <c r="M70" s="60" t="s">
        <v>278</v>
      </c>
      <c r="N70" s="60" t="s">
        <v>7</v>
      </c>
      <c r="O70" s="39">
        <f>IF(N70="5",I70,0)</f>
        <v>0</v>
      </c>
      <c r="Z70" s="39">
        <f>IF(AD70=0,J70,0)</f>
        <v>0</v>
      </c>
      <c r="AA70" s="39">
        <f>IF(AD70=15,J70,0)</f>
        <v>0</v>
      </c>
      <c r="AB70" s="39">
        <f>IF(AD70=21,J70,0)</f>
        <v>0</v>
      </c>
      <c r="AD70" s="64">
        <v>15</v>
      </c>
      <c r="AE70" s="64">
        <f>G70*0.571925</f>
        <v>0</v>
      </c>
      <c r="AF70" s="64">
        <f>G70*(1-0.571925)</f>
        <v>0</v>
      </c>
      <c r="AM70" s="64">
        <f>F70*AE70</f>
        <v>0</v>
      </c>
      <c r="AN70" s="64">
        <f>F70*AF70</f>
        <v>0</v>
      </c>
      <c r="AO70" s="65" t="s">
        <v>306</v>
      </c>
      <c r="AP70" s="65" t="s">
        <v>323</v>
      </c>
      <c r="AQ70" s="54" t="s">
        <v>327</v>
      </c>
    </row>
    <row r="71" spans="1:37" ht="12.75">
      <c r="A71" s="11"/>
      <c r="B71" s="24"/>
      <c r="C71" s="24" t="s">
        <v>107</v>
      </c>
      <c r="D71" s="24" t="s">
        <v>204</v>
      </c>
      <c r="E71" s="36"/>
      <c r="F71" s="36"/>
      <c r="G71" s="36"/>
      <c r="H71" s="67">
        <f>SUM(H72:H72)</f>
        <v>0</v>
      </c>
      <c r="I71" s="67">
        <f>SUM(I72:I72)</f>
        <v>0</v>
      </c>
      <c r="J71" s="67">
        <f>H71+I71</f>
        <v>0</v>
      </c>
      <c r="K71" s="54"/>
      <c r="L71" s="67">
        <f>SUM(L72:L72)</f>
        <v>0</v>
      </c>
      <c r="M71" s="54"/>
      <c r="P71" s="67">
        <f>IF(Q71="PR",J71,SUM(O72:O72))</f>
        <v>0</v>
      </c>
      <c r="Q71" s="54" t="s">
        <v>282</v>
      </c>
      <c r="R71" s="67">
        <f>IF(Q71="HS",H71,0)</f>
        <v>0</v>
      </c>
      <c r="S71" s="67">
        <f>IF(Q71="HS",I71-P71,0)</f>
        <v>0</v>
      </c>
      <c r="T71" s="67">
        <f>IF(Q71="PS",H71,0)</f>
        <v>0</v>
      </c>
      <c r="U71" s="67">
        <f>IF(Q71="PS",I71-P71,0)</f>
        <v>0</v>
      </c>
      <c r="V71" s="67">
        <f>IF(Q71="MP",H71,0)</f>
        <v>0</v>
      </c>
      <c r="W71" s="67">
        <f>IF(Q71="MP",I71-P71,0)</f>
        <v>0</v>
      </c>
      <c r="X71" s="67">
        <f>IF(Q71="OM",H71,0)</f>
        <v>0</v>
      </c>
      <c r="Y71" s="54"/>
      <c r="AI71" s="67">
        <f>SUM(Z72:Z72)</f>
        <v>0</v>
      </c>
      <c r="AJ71" s="67">
        <f>SUM(AA72:AA72)</f>
        <v>0</v>
      </c>
      <c r="AK71" s="67">
        <f>SUM(AB72:AB72)</f>
        <v>0</v>
      </c>
    </row>
    <row r="72" spans="1:43" ht="12.75">
      <c r="A72" s="10" t="s">
        <v>39</v>
      </c>
      <c r="B72" s="10"/>
      <c r="C72" s="10" t="s">
        <v>108</v>
      </c>
      <c r="D72" s="10" t="s">
        <v>205</v>
      </c>
      <c r="E72" s="10" t="s">
        <v>258</v>
      </c>
      <c r="F72" s="39">
        <v>75.5</v>
      </c>
      <c r="G72" s="39">
        <v>0</v>
      </c>
      <c r="H72" s="39">
        <f>F72*AE72</f>
        <v>0</v>
      </c>
      <c r="I72" s="39">
        <f>J72-H72</f>
        <v>0</v>
      </c>
      <c r="J72" s="39">
        <f>F72*G72</f>
        <v>0</v>
      </c>
      <c r="K72" s="39">
        <v>0</v>
      </c>
      <c r="L72" s="39">
        <f>F72*K72</f>
        <v>0</v>
      </c>
      <c r="M72" s="60" t="s">
        <v>278</v>
      </c>
      <c r="N72" s="60" t="s">
        <v>7</v>
      </c>
      <c r="O72" s="39">
        <f>IF(N72="5",I72,0)</f>
        <v>0</v>
      </c>
      <c r="Z72" s="39">
        <f>IF(AD72=0,J72,0)</f>
        <v>0</v>
      </c>
      <c r="AA72" s="39">
        <f>IF(AD72=15,J72,0)</f>
        <v>0</v>
      </c>
      <c r="AB72" s="39">
        <f>IF(AD72=21,J72,0)</f>
        <v>0</v>
      </c>
      <c r="AD72" s="64">
        <v>15</v>
      </c>
      <c r="AE72" s="64">
        <f>G72*0.434700434700435</f>
        <v>0</v>
      </c>
      <c r="AF72" s="64">
        <f>G72*(1-0.434700434700435)</f>
        <v>0</v>
      </c>
      <c r="AM72" s="64">
        <f>F72*AE72</f>
        <v>0</v>
      </c>
      <c r="AN72" s="64">
        <f>F72*AF72</f>
        <v>0</v>
      </c>
      <c r="AO72" s="65" t="s">
        <v>307</v>
      </c>
      <c r="AP72" s="65" t="s">
        <v>324</v>
      </c>
      <c r="AQ72" s="54" t="s">
        <v>327</v>
      </c>
    </row>
    <row r="73" spans="3:13" ht="12.75">
      <c r="C73" s="25" t="s">
        <v>62</v>
      </c>
      <c r="D73" s="30" t="s">
        <v>206</v>
      </c>
      <c r="E73" s="35"/>
      <c r="F73" s="35"/>
      <c r="G73" s="35"/>
      <c r="H73" s="35"/>
      <c r="I73" s="35"/>
      <c r="J73" s="35"/>
      <c r="K73" s="35"/>
      <c r="L73" s="35"/>
      <c r="M73" s="35"/>
    </row>
    <row r="74" spans="1:37" ht="12.75">
      <c r="A74" s="11"/>
      <c r="B74" s="24"/>
      <c r="C74" s="24" t="s">
        <v>109</v>
      </c>
      <c r="D74" s="24" t="s">
        <v>207</v>
      </c>
      <c r="E74" s="36"/>
      <c r="F74" s="36"/>
      <c r="G74" s="36"/>
      <c r="H74" s="67">
        <f>SUM(H75:H75)</f>
        <v>0</v>
      </c>
      <c r="I74" s="67">
        <f>SUM(I75:I75)</f>
        <v>0</v>
      </c>
      <c r="J74" s="67">
        <f>H74+I74</f>
        <v>0</v>
      </c>
      <c r="K74" s="54"/>
      <c r="L74" s="67">
        <f>SUM(L75:L75)</f>
        <v>1.29088</v>
      </c>
      <c r="M74" s="54"/>
      <c r="P74" s="67">
        <f>IF(Q74="PR",J74,SUM(O75:O75))</f>
        <v>0</v>
      </c>
      <c r="Q74" s="54" t="s">
        <v>282</v>
      </c>
      <c r="R74" s="67">
        <f>IF(Q74="HS",H74,0)</f>
        <v>0</v>
      </c>
      <c r="S74" s="67">
        <f>IF(Q74="HS",I74-P74,0)</f>
        <v>0</v>
      </c>
      <c r="T74" s="67">
        <f>IF(Q74="PS",H74,0)</f>
        <v>0</v>
      </c>
      <c r="U74" s="67">
        <f>IF(Q74="PS",I74-P74,0)</f>
        <v>0</v>
      </c>
      <c r="V74" s="67">
        <f>IF(Q74="MP",H74,0)</f>
        <v>0</v>
      </c>
      <c r="W74" s="67">
        <f>IF(Q74="MP",I74-P74,0)</f>
        <v>0</v>
      </c>
      <c r="X74" s="67">
        <f>IF(Q74="OM",H74,0)</f>
        <v>0</v>
      </c>
      <c r="Y74" s="54"/>
      <c r="AI74" s="67">
        <f>SUM(Z75:Z75)</f>
        <v>0</v>
      </c>
      <c r="AJ74" s="67">
        <f>SUM(AA75:AA75)</f>
        <v>0</v>
      </c>
      <c r="AK74" s="67">
        <f>SUM(AB75:AB75)</f>
        <v>0</v>
      </c>
    </row>
    <row r="75" spans="1:43" ht="12.75">
      <c r="A75" s="10" t="s">
        <v>40</v>
      </c>
      <c r="B75" s="10"/>
      <c r="C75" s="10" t="s">
        <v>110</v>
      </c>
      <c r="D75" s="10" t="s">
        <v>208</v>
      </c>
      <c r="E75" s="10" t="s">
        <v>257</v>
      </c>
      <c r="F75" s="39">
        <v>4</v>
      </c>
      <c r="G75" s="39">
        <v>0</v>
      </c>
      <c r="H75" s="39">
        <f>F75*AE75</f>
        <v>0</v>
      </c>
      <c r="I75" s="39">
        <f>J75-H75</f>
        <v>0</v>
      </c>
      <c r="J75" s="39">
        <f>F75*G75</f>
        <v>0</v>
      </c>
      <c r="K75" s="39">
        <v>0.32272</v>
      </c>
      <c r="L75" s="39">
        <f>F75*K75</f>
        <v>1.29088</v>
      </c>
      <c r="M75" s="60" t="s">
        <v>278</v>
      </c>
      <c r="N75" s="60" t="s">
        <v>7</v>
      </c>
      <c r="O75" s="39">
        <f>IF(N75="5",I75,0)</f>
        <v>0</v>
      </c>
      <c r="Z75" s="39">
        <f>IF(AD75=0,J75,0)</f>
        <v>0</v>
      </c>
      <c r="AA75" s="39">
        <f>IF(AD75=15,J75,0)</f>
        <v>0</v>
      </c>
      <c r="AB75" s="39">
        <f>IF(AD75=21,J75,0)</f>
        <v>0</v>
      </c>
      <c r="AD75" s="64">
        <v>15</v>
      </c>
      <c r="AE75" s="64">
        <f>G75*0.481206896551724</f>
        <v>0</v>
      </c>
      <c r="AF75" s="64">
        <f>G75*(1-0.481206896551724)</f>
        <v>0</v>
      </c>
      <c r="AM75" s="64">
        <f>F75*AE75</f>
        <v>0</v>
      </c>
      <c r="AN75" s="64">
        <f>F75*AF75</f>
        <v>0</v>
      </c>
      <c r="AO75" s="65" t="s">
        <v>308</v>
      </c>
      <c r="AP75" s="65" t="s">
        <v>324</v>
      </c>
      <c r="AQ75" s="54" t="s">
        <v>327</v>
      </c>
    </row>
    <row r="76" spans="3:13" ht="12.75">
      <c r="C76" s="25" t="s">
        <v>62</v>
      </c>
      <c r="D76" s="30" t="s">
        <v>209</v>
      </c>
      <c r="E76" s="35"/>
      <c r="F76" s="35"/>
      <c r="G76" s="35"/>
      <c r="H76" s="35"/>
      <c r="I76" s="35"/>
      <c r="J76" s="35"/>
      <c r="K76" s="35"/>
      <c r="L76" s="35"/>
      <c r="M76" s="35"/>
    </row>
    <row r="77" spans="1:37" ht="12.75">
      <c r="A77" s="11"/>
      <c r="B77" s="24"/>
      <c r="C77" s="24" t="s">
        <v>111</v>
      </c>
      <c r="D77" s="24" t="s">
        <v>210</v>
      </c>
      <c r="E77" s="36"/>
      <c r="F77" s="36"/>
      <c r="G77" s="36"/>
      <c r="H77" s="67">
        <f>SUM(H78:H80)</f>
        <v>0</v>
      </c>
      <c r="I77" s="67">
        <f>SUM(I78:I80)</f>
        <v>0</v>
      </c>
      <c r="J77" s="67">
        <f>H77+I77</f>
        <v>0</v>
      </c>
      <c r="K77" s="54"/>
      <c r="L77" s="67">
        <f>SUM(L78:L80)</f>
        <v>0</v>
      </c>
      <c r="M77" s="54"/>
      <c r="P77" s="67">
        <f>IF(Q77="PR",J77,SUM(O78:O80))</f>
        <v>0</v>
      </c>
      <c r="Q77" s="54" t="s">
        <v>282</v>
      </c>
      <c r="R77" s="67">
        <f>IF(Q77="HS",H77,0)</f>
        <v>0</v>
      </c>
      <c r="S77" s="67">
        <f>IF(Q77="HS",I77-P77,0)</f>
        <v>0</v>
      </c>
      <c r="T77" s="67">
        <f>IF(Q77="PS",H77,0)</f>
        <v>0</v>
      </c>
      <c r="U77" s="67">
        <f>IF(Q77="PS",I77-P77,0)</f>
        <v>0</v>
      </c>
      <c r="V77" s="67">
        <f>IF(Q77="MP",H77,0)</f>
        <v>0</v>
      </c>
      <c r="W77" s="67">
        <f>IF(Q77="MP",I77-P77,0)</f>
        <v>0</v>
      </c>
      <c r="X77" s="67">
        <f>IF(Q77="OM",H77,0)</f>
        <v>0</v>
      </c>
      <c r="Y77" s="54"/>
      <c r="AI77" s="67">
        <f>SUM(Z78:Z80)</f>
        <v>0</v>
      </c>
      <c r="AJ77" s="67">
        <f>SUM(AA78:AA80)</f>
        <v>0</v>
      </c>
      <c r="AK77" s="67">
        <f>SUM(AB78:AB80)</f>
        <v>0</v>
      </c>
    </row>
    <row r="78" spans="1:43" ht="12.75">
      <c r="A78" s="10" t="s">
        <v>41</v>
      </c>
      <c r="B78" s="10"/>
      <c r="C78" s="10" t="s">
        <v>112</v>
      </c>
      <c r="D78" s="10" t="s">
        <v>211</v>
      </c>
      <c r="E78" s="10" t="s">
        <v>259</v>
      </c>
      <c r="F78" s="39">
        <v>8</v>
      </c>
      <c r="G78" s="39">
        <v>0</v>
      </c>
      <c r="H78" s="39">
        <f>F78*AE78</f>
        <v>0</v>
      </c>
      <c r="I78" s="39">
        <f>J78-H78</f>
        <v>0</v>
      </c>
      <c r="J78" s="39">
        <f>F78*G78</f>
        <v>0</v>
      </c>
      <c r="K78" s="39">
        <v>0</v>
      </c>
      <c r="L78" s="39">
        <f>F78*K78</f>
        <v>0</v>
      </c>
      <c r="M78" s="60" t="s">
        <v>278</v>
      </c>
      <c r="N78" s="60" t="s">
        <v>7</v>
      </c>
      <c r="O78" s="39">
        <f>IF(N78="5",I78,0)</f>
        <v>0</v>
      </c>
      <c r="Z78" s="39">
        <f>IF(AD78=0,J78,0)</f>
        <v>0</v>
      </c>
      <c r="AA78" s="39">
        <f>IF(AD78=15,J78,0)</f>
        <v>0</v>
      </c>
      <c r="AB78" s="39">
        <f>IF(AD78=21,J78,0)</f>
        <v>0</v>
      </c>
      <c r="AD78" s="64">
        <v>15</v>
      </c>
      <c r="AE78" s="64">
        <f>G78*0</f>
        <v>0</v>
      </c>
      <c r="AF78" s="64">
        <f>G78*(1-0)</f>
        <v>0</v>
      </c>
      <c r="AM78" s="64">
        <f>F78*AE78</f>
        <v>0</v>
      </c>
      <c r="AN78" s="64">
        <f>F78*AF78</f>
        <v>0</v>
      </c>
      <c r="AO78" s="65" t="s">
        <v>309</v>
      </c>
      <c r="AP78" s="65" t="s">
        <v>325</v>
      </c>
      <c r="AQ78" s="54" t="s">
        <v>327</v>
      </c>
    </row>
    <row r="79" spans="3:13" ht="12.75">
      <c r="C79" s="25" t="s">
        <v>62</v>
      </c>
      <c r="D79" s="30" t="s">
        <v>212</v>
      </c>
      <c r="E79" s="35"/>
      <c r="F79" s="35"/>
      <c r="G79" s="35"/>
      <c r="H79" s="35"/>
      <c r="I79" s="35"/>
      <c r="J79" s="35"/>
      <c r="K79" s="35"/>
      <c r="L79" s="35"/>
      <c r="M79" s="35"/>
    </row>
    <row r="80" spans="1:43" ht="12.75">
      <c r="A80" s="10" t="s">
        <v>42</v>
      </c>
      <c r="B80" s="10"/>
      <c r="C80" s="10" t="s">
        <v>113</v>
      </c>
      <c r="D80" s="10" t="s">
        <v>213</v>
      </c>
      <c r="E80" s="10" t="s">
        <v>260</v>
      </c>
      <c r="F80" s="39">
        <v>1</v>
      </c>
      <c r="G80" s="39">
        <v>0</v>
      </c>
      <c r="H80" s="39">
        <f>F80*AE80</f>
        <v>0</v>
      </c>
      <c r="I80" s="39">
        <f>J80-H80</f>
        <v>0</v>
      </c>
      <c r="J80" s="39">
        <f>F80*G80</f>
        <v>0</v>
      </c>
      <c r="K80" s="39">
        <v>0</v>
      </c>
      <c r="L80" s="39">
        <f>F80*K80</f>
        <v>0</v>
      </c>
      <c r="M80" s="60" t="s">
        <v>278</v>
      </c>
      <c r="N80" s="60" t="s">
        <v>7</v>
      </c>
      <c r="O80" s="39">
        <f>IF(N80="5",I80,0)</f>
        <v>0</v>
      </c>
      <c r="Z80" s="39">
        <f>IF(AD80=0,J80,0)</f>
        <v>0</v>
      </c>
      <c r="AA80" s="39">
        <f>IF(AD80=15,J80,0)</f>
        <v>0</v>
      </c>
      <c r="AB80" s="39">
        <f>IF(AD80=21,J80,0)</f>
        <v>0</v>
      </c>
      <c r="AD80" s="64">
        <v>15</v>
      </c>
      <c r="AE80" s="64">
        <f>G80*0.978186885245901</f>
        <v>0</v>
      </c>
      <c r="AF80" s="64">
        <f>G80*(1-0.978186885245901)</f>
        <v>0</v>
      </c>
      <c r="AM80" s="64">
        <f>F80*AE80</f>
        <v>0</v>
      </c>
      <c r="AN80" s="64">
        <f>F80*AF80</f>
        <v>0</v>
      </c>
      <c r="AO80" s="65" t="s">
        <v>309</v>
      </c>
      <c r="AP80" s="65" t="s">
        <v>325</v>
      </c>
      <c r="AQ80" s="54" t="s">
        <v>327</v>
      </c>
    </row>
    <row r="81" spans="3:13" ht="12.75">
      <c r="C81" s="25" t="s">
        <v>62</v>
      </c>
      <c r="D81" s="30" t="s">
        <v>214</v>
      </c>
      <c r="E81" s="35"/>
      <c r="F81" s="35"/>
      <c r="G81" s="35"/>
      <c r="H81" s="35"/>
      <c r="I81" s="35"/>
      <c r="J81" s="35"/>
      <c r="K81" s="35"/>
      <c r="L81" s="35"/>
      <c r="M81" s="35"/>
    </row>
    <row r="82" spans="1:37" ht="12.75">
      <c r="A82" s="11"/>
      <c r="B82" s="24"/>
      <c r="C82" s="24" t="s">
        <v>114</v>
      </c>
      <c r="D82" s="24" t="s">
        <v>215</v>
      </c>
      <c r="E82" s="36"/>
      <c r="F82" s="36"/>
      <c r="G82" s="36"/>
      <c r="H82" s="67">
        <f>SUM(H83:H85)</f>
        <v>0</v>
      </c>
      <c r="I82" s="67">
        <f>SUM(I83:I85)</f>
        <v>0</v>
      </c>
      <c r="J82" s="67">
        <f>H82+I82</f>
        <v>0</v>
      </c>
      <c r="K82" s="54"/>
      <c r="L82" s="67">
        <f>SUM(L83:L85)</f>
        <v>7.95124</v>
      </c>
      <c r="M82" s="54"/>
      <c r="P82" s="67">
        <f>IF(Q82="PR",J82,SUM(O83:O85))</f>
        <v>0</v>
      </c>
      <c r="Q82" s="54" t="s">
        <v>282</v>
      </c>
      <c r="R82" s="67">
        <f>IF(Q82="HS",H82,0)</f>
        <v>0</v>
      </c>
      <c r="S82" s="67">
        <f>IF(Q82="HS",I82-P82,0)</f>
        <v>0</v>
      </c>
      <c r="T82" s="67">
        <f>IF(Q82="PS",H82,0)</f>
        <v>0</v>
      </c>
      <c r="U82" s="67">
        <f>IF(Q82="PS",I82-P82,0)</f>
        <v>0</v>
      </c>
      <c r="V82" s="67">
        <f>IF(Q82="MP",H82,0)</f>
        <v>0</v>
      </c>
      <c r="W82" s="67">
        <f>IF(Q82="MP",I82-P82,0)</f>
        <v>0</v>
      </c>
      <c r="X82" s="67">
        <f>IF(Q82="OM",H82,0)</f>
        <v>0</v>
      </c>
      <c r="Y82" s="54"/>
      <c r="AI82" s="67">
        <f>SUM(Z83:Z85)</f>
        <v>0</v>
      </c>
      <c r="AJ82" s="67">
        <f>SUM(AA83:AA85)</f>
        <v>0</v>
      </c>
      <c r="AK82" s="67">
        <f>SUM(AB83:AB85)</f>
        <v>0</v>
      </c>
    </row>
    <row r="83" spans="1:43" ht="12.75">
      <c r="A83" s="10" t="s">
        <v>43</v>
      </c>
      <c r="B83" s="10"/>
      <c r="C83" s="10" t="s">
        <v>115</v>
      </c>
      <c r="D83" s="10" t="s">
        <v>216</v>
      </c>
      <c r="E83" s="10" t="s">
        <v>258</v>
      </c>
      <c r="F83" s="39">
        <v>68</v>
      </c>
      <c r="G83" s="39">
        <v>0</v>
      </c>
      <c r="H83" s="39">
        <f>F83*AE83</f>
        <v>0</v>
      </c>
      <c r="I83" s="39">
        <f>J83-H83</f>
        <v>0</v>
      </c>
      <c r="J83" s="39">
        <f>F83*G83</f>
        <v>0</v>
      </c>
      <c r="K83" s="39">
        <v>0.11693</v>
      </c>
      <c r="L83" s="39">
        <f>F83*K83</f>
        <v>7.95124</v>
      </c>
      <c r="M83" s="60" t="s">
        <v>278</v>
      </c>
      <c r="N83" s="60" t="s">
        <v>7</v>
      </c>
      <c r="O83" s="39">
        <f>IF(N83="5",I83,0)</f>
        <v>0</v>
      </c>
      <c r="Z83" s="39">
        <f>IF(AD83=0,J83,0)</f>
        <v>0</v>
      </c>
      <c r="AA83" s="39">
        <f>IF(AD83=15,J83,0)</f>
        <v>0</v>
      </c>
      <c r="AB83" s="39">
        <f>IF(AD83=21,J83,0)</f>
        <v>0</v>
      </c>
      <c r="AD83" s="64">
        <v>15</v>
      </c>
      <c r="AE83" s="64">
        <f>G83*0.756033994334278</f>
        <v>0</v>
      </c>
      <c r="AF83" s="64">
        <f>G83*(1-0.756033994334278)</f>
        <v>0</v>
      </c>
      <c r="AM83" s="64">
        <f>F83*AE83</f>
        <v>0</v>
      </c>
      <c r="AN83" s="64">
        <f>F83*AF83</f>
        <v>0</v>
      </c>
      <c r="AO83" s="65" t="s">
        <v>310</v>
      </c>
      <c r="AP83" s="65" t="s">
        <v>325</v>
      </c>
      <c r="AQ83" s="54" t="s">
        <v>327</v>
      </c>
    </row>
    <row r="84" spans="3:13" ht="12.75">
      <c r="C84" s="25" t="s">
        <v>62</v>
      </c>
      <c r="D84" s="30" t="s">
        <v>217</v>
      </c>
      <c r="E84" s="35"/>
      <c r="F84" s="35"/>
      <c r="G84" s="35"/>
      <c r="H84" s="35"/>
      <c r="I84" s="35"/>
      <c r="J84" s="35"/>
      <c r="K84" s="35"/>
      <c r="L84" s="35"/>
      <c r="M84" s="35"/>
    </row>
    <row r="85" spans="1:43" ht="12.75">
      <c r="A85" s="10" t="s">
        <v>44</v>
      </c>
      <c r="B85" s="10"/>
      <c r="C85" s="10" t="s">
        <v>116</v>
      </c>
      <c r="D85" s="10" t="s">
        <v>218</v>
      </c>
      <c r="E85" s="10" t="s">
        <v>258</v>
      </c>
      <c r="F85" s="39">
        <v>18.5</v>
      </c>
      <c r="G85" s="39">
        <v>0</v>
      </c>
      <c r="H85" s="39">
        <f>F85*AE85</f>
        <v>0</v>
      </c>
      <c r="I85" s="39">
        <f>J85-H85</f>
        <v>0</v>
      </c>
      <c r="J85" s="39">
        <f>F85*G85</f>
        <v>0</v>
      </c>
      <c r="K85" s="39">
        <v>0</v>
      </c>
      <c r="L85" s="39">
        <f>F85*K85</f>
        <v>0</v>
      </c>
      <c r="M85" s="60" t="s">
        <v>278</v>
      </c>
      <c r="N85" s="60" t="s">
        <v>7</v>
      </c>
      <c r="O85" s="39">
        <f>IF(N85="5",I85,0)</f>
        <v>0</v>
      </c>
      <c r="Z85" s="39">
        <f>IF(AD85=0,J85,0)</f>
        <v>0</v>
      </c>
      <c r="AA85" s="39">
        <f>IF(AD85=15,J85,0)</f>
        <v>0</v>
      </c>
      <c r="AB85" s="39">
        <f>IF(AD85=21,J85,0)</f>
        <v>0</v>
      </c>
      <c r="AD85" s="64">
        <v>15</v>
      </c>
      <c r="AE85" s="64">
        <f>G85*0.548201152852316</f>
        <v>0</v>
      </c>
      <c r="AF85" s="64">
        <f>G85*(1-0.548201152852316)</f>
        <v>0</v>
      </c>
      <c r="AM85" s="64">
        <f>F85*AE85</f>
        <v>0</v>
      </c>
      <c r="AN85" s="64">
        <f>F85*AF85</f>
        <v>0</v>
      </c>
      <c r="AO85" s="65" t="s">
        <v>310</v>
      </c>
      <c r="AP85" s="65" t="s">
        <v>325</v>
      </c>
      <c r="AQ85" s="54" t="s">
        <v>327</v>
      </c>
    </row>
    <row r="86" spans="1:37" ht="12.75">
      <c r="A86" s="11"/>
      <c r="B86" s="24"/>
      <c r="C86" s="24" t="s">
        <v>117</v>
      </c>
      <c r="D86" s="24" t="s">
        <v>219</v>
      </c>
      <c r="E86" s="36"/>
      <c r="F86" s="36"/>
      <c r="G86" s="36"/>
      <c r="H86" s="67">
        <f>SUM(H87:H90)</f>
        <v>0</v>
      </c>
      <c r="I86" s="67">
        <f>SUM(I87:I90)</f>
        <v>0</v>
      </c>
      <c r="J86" s="67">
        <f>H86+I86</f>
        <v>0</v>
      </c>
      <c r="K86" s="54"/>
      <c r="L86" s="67">
        <f>SUM(L87:L90)</f>
        <v>5.62428</v>
      </c>
      <c r="M86" s="54"/>
      <c r="P86" s="67">
        <f>IF(Q86="PR",J86,SUM(O87:O90))</f>
        <v>0</v>
      </c>
      <c r="Q86" s="54" t="s">
        <v>282</v>
      </c>
      <c r="R86" s="67">
        <f>IF(Q86="HS",H86,0)</f>
        <v>0</v>
      </c>
      <c r="S86" s="67">
        <f>IF(Q86="HS",I86-P86,0)</f>
        <v>0</v>
      </c>
      <c r="T86" s="67">
        <f>IF(Q86="PS",H86,0)</f>
        <v>0</v>
      </c>
      <c r="U86" s="67">
        <f>IF(Q86="PS",I86-P86,0)</f>
        <v>0</v>
      </c>
      <c r="V86" s="67">
        <f>IF(Q86="MP",H86,0)</f>
        <v>0</v>
      </c>
      <c r="W86" s="67">
        <f>IF(Q86="MP",I86-P86,0)</f>
        <v>0</v>
      </c>
      <c r="X86" s="67">
        <f>IF(Q86="OM",H86,0)</f>
        <v>0</v>
      </c>
      <c r="Y86" s="54"/>
      <c r="AI86" s="67">
        <f>SUM(Z87:Z90)</f>
        <v>0</v>
      </c>
      <c r="AJ86" s="67">
        <f>SUM(AA87:AA90)</f>
        <v>0</v>
      </c>
      <c r="AK86" s="67">
        <f>SUM(AB87:AB90)</f>
        <v>0</v>
      </c>
    </row>
    <row r="87" spans="1:43" ht="12.75">
      <c r="A87" s="10" t="s">
        <v>45</v>
      </c>
      <c r="B87" s="10"/>
      <c r="C87" s="10" t="s">
        <v>118</v>
      </c>
      <c r="D87" s="10" t="s">
        <v>220</v>
      </c>
      <c r="E87" s="10" t="s">
        <v>256</v>
      </c>
      <c r="F87" s="39">
        <v>306</v>
      </c>
      <c r="G87" s="39">
        <v>0</v>
      </c>
      <c r="H87" s="39">
        <f>F87*AE87</f>
        <v>0</v>
      </c>
      <c r="I87" s="39">
        <f>J87-H87</f>
        <v>0</v>
      </c>
      <c r="J87" s="39">
        <f>F87*G87</f>
        <v>0</v>
      </c>
      <c r="K87" s="39">
        <v>0.01838</v>
      </c>
      <c r="L87" s="39">
        <f>F87*K87</f>
        <v>5.62428</v>
      </c>
      <c r="M87" s="60" t="s">
        <v>278</v>
      </c>
      <c r="N87" s="60" t="s">
        <v>7</v>
      </c>
      <c r="O87" s="39">
        <f>IF(N87="5",I87,0)</f>
        <v>0</v>
      </c>
      <c r="Z87" s="39">
        <f>IF(AD87=0,J87,0)</f>
        <v>0</v>
      </c>
      <c r="AA87" s="39">
        <f>IF(AD87=15,J87,0)</f>
        <v>0</v>
      </c>
      <c r="AB87" s="39">
        <f>IF(AD87=21,J87,0)</f>
        <v>0</v>
      </c>
      <c r="AD87" s="64">
        <v>15</v>
      </c>
      <c r="AE87" s="64">
        <f>G87*0.000727272727272727</f>
        <v>0</v>
      </c>
      <c r="AF87" s="64">
        <f>G87*(1-0.000727272727272727)</f>
        <v>0</v>
      </c>
      <c r="AM87" s="64">
        <f>F87*AE87</f>
        <v>0</v>
      </c>
      <c r="AN87" s="64">
        <f>F87*AF87</f>
        <v>0</v>
      </c>
      <c r="AO87" s="65" t="s">
        <v>311</v>
      </c>
      <c r="AP87" s="65" t="s">
        <v>325</v>
      </c>
      <c r="AQ87" s="54" t="s">
        <v>327</v>
      </c>
    </row>
    <row r="88" spans="1:43" ht="12.75">
      <c r="A88" s="10" t="s">
        <v>46</v>
      </c>
      <c r="B88" s="10"/>
      <c r="C88" s="10" t="s">
        <v>119</v>
      </c>
      <c r="D88" s="10" t="s">
        <v>221</v>
      </c>
      <c r="E88" s="10" t="s">
        <v>256</v>
      </c>
      <c r="F88" s="39">
        <v>306</v>
      </c>
      <c r="G88" s="39">
        <v>0</v>
      </c>
      <c r="H88" s="39">
        <f>F88*AE88</f>
        <v>0</v>
      </c>
      <c r="I88" s="39">
        <f>J88-H88</f>
        <v>0</v>
      </c>
      <c r="J88" s="39">
        <f>F88*G88</f>
        <v>0</v>
      </c>
      <c r="K88" s="39">
        <v>0</v>
      </c>
      <c r="L88" s="39">
        <f>F88*K88</f>
        <v>0</v>
      </c>
      <c r="M88" s="60" t="s">
        <v>278</v>
      </c>
      <c r="N88" s="60" t="s">
        <v>7</v>
      </c>
      <c r="O88" s="39">
        <f>IF(N88="5",I88,0)</f>
        <v>0</v>
      </c>
      <c r="Z88" s="39">
        <f>IF(AD88=0,J88,0)</f>
        <v>0</v>
      </c>
      <c r="AA88" s="39">
        <f>IF(AD88=15,J88,0)</f>
        <v>0</v>
      </c>
      <c r="AB88" s="39">
        <f>IF(AD88=21,J88,0)</f>
        <v>0</v>
      </c>
      <c r="AD88" s="64">
        <v>15</v>
      </c>
      <c r="AE88" s="64">
        <f>G88*0</f>
        <v>0</v>
      </c>
      <c r="AF88" s="64">
        <f>G88*(1-0)</f>
        <v>0</v>
      </c>
      <c r="AM88" s="64">
        <f>F88*AE88</f>
        <v>0</v>
      </c>
      <c r="AN88" s="64">
        <f>F88*AF88</f>
        <v>0</v>
      </c>
      <c r="AO88" s="65" t="s">
        <v>311</v>
      </c>
      <c r="AP88" s="65" t="s">
        <v>325</v>
      </c>
      <c r="AQ88" s="54" t="s">
        <v>327</v>
      </c>
    </row>
    <row r="89" spans="3:13" ht="12.75">
      <c r="C89" s="25" t="s">
        <v>62</v>
      </c>
      <c r="D89" s="30" t="s">
        <v>222</v>
      </c>
      <c r="E89" s="35"/>
      <c r="F89" s="35"/>
      <c r="G89" s="35"/>
      <c r="H89" s="35"/>
      <c r="I89" s="35"/>
      <c r="J89" s="35"/>
      <c r="K89" s="35"/>
      <c r="L89" s="35"/>
      <c r="M89" s="35"/>
    </row>
    <row r="90" spans="1:43" ht="12.75">
      <c r="A90" s="10" t="s">
        <v>47</v>
      </c>
      <c r="B90" s="10"/>
      <c r="C90" s="10" t="s">
        <v>120</v>
      </c>
      <c r="D90" s="10" t="s">
        <v>223</v>
      </c>
      <c r="E90" s="10" t="s">
        <v>256</v>
      </c>
      <c r="F90" s="39">
        <v>306</v>
      </c>
      <c r="G90" s="39">
        <v>0</v>
      </c>
      <c r="H90" s="39">
        <f>F90*AE90</f>
        <v>0</v>
      </c>
      <c r="I90" s="39">
        <f>J90-H90</f>
        <v>0</v>
      </c>
      <c r="J90" s="39">
        <f>F90*G90</f>
        <v>0</v>
      </c>
      <c r="K90" s="39">
        <v>0</v>
      </c>
      <c r="L90" s="39">
        <f>F90*K90</f>
        <v>0</v>
      </c>
      <c r="M90" s="60" t="s">
        <v>278</v>
      </c>
      <c r="N90" s="60" t="s">
        <v>7</v>
      </c>
      <c r="O90" s="39">
        <f>IF(N90="5",I90,0)</f>
        <v>0</v>
      </c>
      <c r="Z90" s="39">
        <f>IF(AD90=0,J90,0)</f>
        <v>0</v>
      </c>
      <c r="AA90" s="39">
        <f>IF(AD90=15,J90,0)</f>
        <v>0</v>
      </c>
      <c r="AB90" s="39">
        <f>IF(AD90=21,J90,0)</f>
        <v>0</v>
      </c>
      <c r="AD90" s="64">
        <v>15</v>
      </c>
      <c r="AE90" s="64">
        <f>G90*0</f>
        <v>0</v>
      </c>
      <c r="AF90" s="64">
        <f>G90*(1-0)</f>
        <v>0</v>
      </c>
      <c r="AM90" s="64">
        <f>F90*AE90</f>
        <v>0</v>
      </c>
      <c r="AN90" s="64">
        <f>F90*AF90</f>
        <v>0</v>
      </c>
      <c r="AO90" s="65" t="s">
        <v>311</v>
      </c>
      <c r="AP90" s="65" t="s">
        <v>325</v>
      </c>
      <c r="AQ90" s="54" t="s">
        <v>327</v>
      </c>
    </row>
    <row r="91" spans="1:37" ht="12.75">
      <c r="A91" s="11"/>
      <c r="B91" s="24"/>
      <c r="C91" s="24" t="s">
        <v>121</v>
      </c>
      <c r="D91" s="24" t="s">
        <v>224</v>
      </c>
      <c r="E91" s="36"/>
      <c r="F91" s="36"/>
      <c r="G91" s="36"/>
      <c r="H91" s="67">
        <f>SUM(H92:H92)</f>
        <v>0</v>
      </c>
      <c r="I91" s="67">
        <f>SUM(I92:I92)</f>
        <v>0</v>
      </c>
      <c r="J91" s="67">
        <f>H91+I91</f>
        <v>0</v>
      </c>
      <c r="K91" s="54"/>
      <c r="L91" s="67">
        <f>SUM(L92:L92)</f>
        <v>0.4536</v>
      </c>
      <c r="M91" s="54"/>
      <c r="P91" s="67">
        <f>IF(Q91="PR",J91,SUM(O92:O92))</f>
        <v>0</v>
      </c>
      <c r="Q91" s="54" t="s">
        <v>282</v>
      </c>
      <c r="R91" s="67">
        <f>IF(Q91="HS",H91,0)</f>
        <v>0</v>
      </c>
      <c r="S91" s="67">
        <f>IF(Q91="HS",I91-P91,0)</f>
        <v>0</v>
      </c>
      <c r="T91" s="67">
        <f>IF(Q91="PS",H91,0)</f>
        <v>0</v>
      </c>
      <c r="U91" s="67">
        <f>IF(Q91="PS",I91-P91,0)</f>
        <v>0</v>
      </c>
      <c r="V91" s="67">
        <f>IF(Q91="MP",H91,0)</f>
        <v>0</v>
      </c>
      <c r="W91" s="67">
        <f>IF(Q91="MP",I91-P91,0)</f>
        <v>0</v>
      </c>
      <c r="X91" s="67">
        <f>IF(Q91="OM",H91,0)</f>
        <v>0</v>
      </c>
      <c r="Y91" s="54"/>
      <c r="AI91" s="67">
        <f>SUM(Z92:Z92)</f>
        <v>0</v>
      </c>
      <c r="AJ91" s="67">
        <f>SUM(AA92:AA92)</f>
        <v>0</v>
      </c>
      <c r="AK91" s="67">
        <f>SUM(AB92:AB92)</f>
        <v>0</v>
      </c>
    </row>
    <row r="92" spans="1:43" ht="12.75">
      <c r="A92" s="10" t="s">
        <v>48</v>
      </c>
      <c r="B92" s="10"/>
      <c r="C92" s="10" t="s">
        <v>122</v>
      </c>
      <c r="D92" s="10" t="s">
        <v>225</v>
      </c>
      <c r="E92" s="10" t="s">
        <v>256</v>
      </c>
      <c r="F92" s="39">
        <v>7.2</v>
      </c>
      <c r="G92" s="39">
        <v>0</v>
      </c>
      <c r="H92" s="39">
        <f>F92*AE92</f>
        <v>0</v>
      </c>
      <c r="I92" s="39">
        <f>J92-H92</f>
        <v>0</v>
      </c>
      <c r="J92" s="39">
        <f>F92*G92</f>
        <v>0</v>
      </c>
      <c r="K92" s="39">
        <v>0.063</v>
      </c>
      <c r="L92" s="39">
        <f>F92*K92</f>
        <v>0.4536</v>
      </c>
      <c r="M92" s="60" t="s">
        <v>278</v>
      </c>
      <c r="N92" s="60" t="s">
        <v>7</v>
      </c>
      <c r="O92" s="39">
        <f>IF(N92="5",I92,0)</f>
        <v>0</v>
      </c>
      <c r="Z92" s="39">
        <f>IF(AD92=0,J92,0)</f>
        <v>0</v>
      </c>
      <c r="AA92" s="39">
        <f>IF(AD92=15,J92,0)</f>
        <v>0</v>
      </c>
      <c r="AB92" s="39">
        <f>IF(AD92=21,J92,0)</f>
        <v>0</v>
      </c>
      <c r="AD92" s="64">
        <v>15</v>
      </c>
      <c r="AE92" s="64">
        <f>G92*0.13683908045977</f>
        <v>0</v>
      </c>
      <c r="AF92" s="64">
        <f>G92*(1-0.13683908045977)</f>
        <v>0</v>
      </c>
      <c r="AM92" s="64">
        <f>F92*AE92</f>
        <v>0</v>
      </c>
      <c r="AN92" s="64">
        <f>F92*AF92</f>
        <v>0</v>
      </c>
      <c r="AO92" s="65" t="s">
        <v>312</v>
      </c>
      <c r="AP92" s="65" t="s">
        <v>325</v>
      </c>
      <c r="AQ92" s="54" t="s">
        <v>327</v>
      </c>
    </row>
    <row r="93" spans="1:37" ht="12.75">
      <c r="A93" s="11"/>
      <c r="B93" s="24"/>
      <c r="C93" s="24" t="s">
        <v>123</v>
      </c>
      <c r="D93" s="24" t="s">
        <v>226</v>
      </c>
      <c r="E93" s="36"/>
      <c r="F93" s="36"/>
      <c r="G93" s="36"/>
      <c r="H93" s="67">
        <f>SUM(H94:H99)</f>
        <v>0</v>
      </c>
      <c r="I93" s="67">
        <f>SUM(I94:I99)</f>
        <v>0</v>
      </c>
      <c r="J93" s="67">
        <f>H93+I93</f>
        <v>0</v>
      </c>
      <c r="K93" s="54"/>
      <c r="L93" s="67">
        <f>SUM(L94:L99)</f>
        <v>17.59716</v>
      </c>
      <c r="M93" s="54"/>
      <c r="P93" s="67">
        <f>IF(Q93="PR",J93,SUM(O94:O99))</f>
        <v>0</v>
      </c>
      <c r="Q93" s="54" t="s">
        <v>282</v>
      </c>
      <c r="R93" s="67">
        <f>IF(Q93="HS",H93,0)</f>
        <v>0</v>
      </c>
      <c r="S93" s="67">
        <f>IF(Q93="HS",I93-P93,0)</f>
        <v>0</v>
      </c>
      <c r="T93" s="67">
        <f>IF(Q93="PS",H93,0)</f>
        <v>0</v>
      </c>
      <c r="U93" s="67">
        <f>IF(Q93="PS",I93-P93,0)</f>
        <v>0</v>
      </c>
      <c r="V93" s="67">
        <f>IF(Q93="MP",H93,0)</f>
        <v>0</v>
      </c>
      <c r="W93" s="67">
        <f>IF(Q93="MP",I93-P93,0)</f>
        <v>0</v>
      </c>
      <c r="X93" s="67">
        <f>IF(Q93="OM",H93,0)</f>
        <v>0</v>
      </c>
      <c r="Y93" s="54"/>
      <c r="AI93" s="67">
        <f>SUM(Z94:Z99)</f>
        <v>0</v>
      </c>
      <c r="AJ93" s="67">
        <f>SUM(AA94:AA99)</f>
        <v>0</v>
      </c>
      <c r="AK93" s="67">
        <f>SUM(AB94:AB99)</f>
        <v>0</v>
      </c>
    </row>
    <row r="94" spans="1:43" ht="12.75">
      <c r="A94" s="10" t="s">
        <v>49</v>
      </c>
      <c r="B94" s="10"/>
      <c r="C94" s="10" t="s">
        <v>124</v>
      </c>
      <c r="D94" s="10" t="s">
        <v>227</v>
      </c>
      <c r="E94" s="10" t="s">
        <v>256</v>
      </c>
      <c r="F94" s="39">
        <v>290</v>
      </c>
      <c r="G94" s="39">
        <v>0</v>
      </c>
      <c r="H94" s="39">
        <f>F94*AE94</f>
        <v>0</v>
      </c>
      <c r="I94" s="39">
        <f>J94-H94</f>
        <v>0</v>
      </c>
      <c r="J94" s="39">
        <f>F94*G94</f>
        <v>0</v>
      </c>
      <c r="K94" s="39">
        <v>0.059</v>
      </c>
      <c r="L94" s="39">
        <f>F94*K94</f>
        <v>17.11</v>
      </c>
      <c r="M94" s="60" t="s">
        <v>278</v>
      </c>
      <c r="N94" s="60" t="s">
        <v>7</v>
      </c>
      <c r="O94" s="39">
        <f>IF(N94="5",I94,0)</f>
        <v>0</v>
      </c>
      <c r="Z94" s="39">
        <f>IF(AD94=0,J94,0)</f>
        <v>0</v>
      </c>
      <c r="AA94" s="39">
        <f>IF(AD94=15,J94,0)</f>
        <v>0</v>
      </c>
      <c r="AB94" s="39">
        <f>IF(AD94=21,J94,0)</f>
        <v>0</v>
      </c>
      <c r="AD94" s="64">
        <v>15</v>
      </c>
      <c r="AE94" s="64">
        <f>G94*0</f>
        <v>0</v>
      </c>
      <c r="AF94" s="64">
        <f>G94*(1-0)</f>
        <v>0</v>
      </c>
      <c r="AM94" s="64">
        <f>F94*AE94</f>
        <v>0</v>
      </c>
      <c r="AN94" s="64">
        <f>F94*AF94</f>
        <v>0</v>
      </c>
      <c r="AO94" s="65" t="s">
        <v>313</v>
      </c>
      <c r="AP94" s="65" t="s">
        <v>325</v>
      </c>
      <c r="AQ94" s="54" t="s">
        <v>327</v>
      </c>
    </row>
    <row r="95" spans="3:13" ht="12.75">
      <c r="C95" s="25" t="s">
        <v>62</v>
      </c>
      <c r="D95" s="30" t="s">
        <v>228</v>
      </c>
      <c r="E95" s="35"/>
      <c r="F95" s="35"/>
      <c r="G95" s="35"/>
      <c r="H95" s="35"/>
      <c r="I95" s="35"/>
      <c r="J95" s="35"/>
      <c r="K95" s="35"/>
      <c r="L95" s="35"/>
      <c r="M95" s="35"/>
    </row>
    <row r="96" spans="1:43" ht="12.75">
      <c r="A96" s="10" t="s">
        <v>50</v>
      </c>
      <c r="B96" s="10"/>
      <c r="C96" s="10" t="s">
        <v>125</v>
      </c>
      <c r="D96" s="10" t="s">
        <v>229</v>
      </c>
      <c r="E96" s="10" t="s">
        <v>258</v>
      </c>
      <c r="F96" s="39">
        <v>20</v>
      </c>
      <c r="G96" s="39">
        <v>0</v>
      </c>
      <c r="H96" s="39">
        <f>F96*AE96</f>
        <v>0</v>
      </c>
      <c r="I96" s="39">
        <f>J96-H96</f>
        <v>0</v>
      </c>
      <c r="J96" s="39">
        <f>F96*G96</f>
        <v>0</v>
      </c>
      <c r="K96" s="39">
        <v>0.01349</v>
      </c>
      <c r="L96" s="39">
        <f>F96*K96</f>
        <v>0.2698</v>
      </c>
      <c r="M96" s="60" t="s">
        <v>278</v>
      </c>
      <c r="N96" s="60" t="s">
        <v>7</v>
      </c>
      <c r="O96" s="39">
        <f>IF(N96="5",I96,0)</f>
        <v>0</v>
      </c>
      <c r="Z96" s="39">
        <f>IF(AD96=0,J96,0)</f>
        <v>0</v>
      </c>
      <c r="AA96" s="39">
        <f>IF(AD96=15,J96,0)</f>
        <v>0</v>
      </c>
      <c r="AB96" s="39">
        <f>IF(AD96=21,J96,0)</f>
        <v>0</v>
      </c>
      <c r="AD96" s="64">
        <v>15</v>
      </c>
      <c r="AE96" s="64">
        <f>G96*0.14480198019802</f>
        <v>0</v>
      </c>
      <c r="AF96" s="64">
        <f>G96*(1-0.14480198019802)</f>
        <v>0</v>
      </c>
      <c r="AM96" s="64">
        <f>F96*AE96</f>
        <v>0</v>
      </c>
      <c r="AN96" s="64">
        <f>F96*AF96</f>
        <v>0</v>
      </c>
      <c r="AO96" s="65" t="s">
        <v>313</v>
      </c>
      <c r="AP96" s="65" t="s">
        <v>325</v>
      </c>
      <c r="AQ96" s="54" t="s">
        <v>327</v>
      </c>
    </row>
    <row r="97" spans="3:13" ht="12.75">
      <c r="C97" s="25" t="s">
        <v>62</v>
      </c>
      <c r="D97" s="30" t="s">
        <v>230</v>
      </c>
      <c r="E97" s="35"/>
      <c r="F97" s="35"/>
      <c r="G97" s="35"/>
      <c r="H97" s="35"/>
      <c r="I97" s="35"/>
      <c r="J97" s="35"/>
      <c r="K97" s="35"/>
      <c r="L97" s="35"/>
      <c r="M97" s="35"/>
    </row>
    <row r="98" spans="1:43" ht="12.75">
      <c r="A98" s="10" t="s">
        <v>51</v>
      </c>
      <c r="B98" s="10"/>
      <c r="C98" s="10" t="s">
        <v>126</v>
      </c>
      <c r="D98" s="10" t="s">
        <v>231</v>
      </c>
      <c r="E98" s="10" t="s">
        <v>257</v>
      </c>
      <c r="F98" s="39">
        <v>4</v>
      </c>
      <c r="G98" s="39">
        <v>0</v>
      </c>
      <c r="H98" s="39">
        <f>F98*AE98</f>
        <v>0</v>
      </c>
      <c r="I98" s="39">
        <f>J98-H98</f>
        <v>0</v>
      </c>
      <c r="J98" s="39">
        <f>F98*G98</f>
        <v>0</v>
      </c>
      <c r="K98" s="39">
        <v>0.05434</v>
      </c>
      <c r="L98" s="39">
        <f>F98*K98</f>
        <v>0.21736</v>
      </c>
      <c r="M98" s="60" t="s">
        <v>278</v>
      </c>
      <c r="N98" s="60" t="s">
        <v>7</v>
      </c>
      <c r="O98" s="39">
        <f>IF(N98="5",I98,0)</f>
        <v>0</v>
      </c>
      <c r="Z98" s="39">
        <f>IF(AD98=0,J98,0)</f>
        <v>0</v>
      </c>
      <c r="AA98" s="39">
        <f>IF(AD98=15,J98,0)</f>
        <v>0</v>
      </c>
      <c r="AB98" s="39">
        <f>IF(AD98=21,J98,0)</f>
        <v>0</v>
      </c>
      <c r="AD98" s="64">
        <v>15</v>
      </c>
      <c r="AE98" s="64">
        <f>G98*0.0846971307120085</f>
        <v>0</v>
      </c>
      <c r="AF98" s="64">
        <f>G98*(1-0.0846971307120085)</f>
        <v>0</v>
      </c>
      <c r="AM98" s="64">
        <f>F98*AE98</f>
        <v>0</v>
      </c>
      <c r="AN98" s="64">
        <f>F98*AF98</f>
        <v>0</v>
      </c>
      <c r="AO98" s="65" t="s">
        <v>313</v>
      </c>
      <c r="AP98" s="65" t="s">
        <v>325</v>
      </c>
      <c r="AQ98" s="54" t="s">
        <v>327</v>
      </c>
    </row>
    <row r="99" spans="1:43" ht="12.75">
      <c r="A99" s="10" t="s">
        <v>52</v>
      </c>
      <c r="B99" s="10"/>
      <c r="C99" s="10" t="s">
        <v>127</v>
      </c>
      <c r="D99" s="10" t="s">
        <v>232</v>
      </c>
      <c r="E99" s="10" t="s">
        <v>261</v>
      </c>
      <c r="F99" s="39">
        <v>64.78324</v>
      </c>
      <c r="G99" s="39">
        <v>0</v>
      </c>
      <c r="H99" s="39">
        <f>F99*AE99</f>
        <v>0</v>
      </c>
      <c r="I99" s="39">
        <f>J99-H99</f>
        <v>0</v>
      </c>
      <c r="J99" s="39">
        <f>F99*G99</f>
        <v>0</v>
      </c>
      <c r="K99" s="39">
        <v>0</v>
      </c>
      <c r="L99" s="39">
        <f>F99*K99</f>
        <v>0</v>
      </c>
      <c r="M99" s="60" t="s">
        <v>278</v>
      </c>
      <c r="N99" s="60" t="s">
        <v>11</v>
      </c>
      <c r="O99" s="39">
        <f>IF(N99="5",I99,0)</f>
        <v>0</v>
      </c>
      <c r="Z99" s="39">
        <f>IF(AD99=0,J99,0)</f>
        <v>0</v>
      </c>
      <c r="AA99" s="39">
        <f>IF(AD99=15,J99,0)</f>
        <v>0</v>
      </c>
      <c r="AB99" s="39">
        <f>IF(AD99=21,J99,0)</f>
        <v>0</v>
      </c>
      <c r="AD99" s="64">
        <v>15</v>
      </c>
      <c r="AE99" s="64">
        <f>G99*0</f>
        <v>0</v>
      </c>
      <c r="AF99" s="64">
        <f>G99*(1-0)</f>
        <v>0</v>
      </c>
      <c r="AM99" s="64">
        <f>F99*AE99</f>
        <v>0</v>
      </c>
      <c r="AN99" s="64">
        <f>F99*AF99</f>
        <v>0</v>
      </c>
      <c r="AO99" s="65" t="s">
        <v>313</v>
      </c>
      <c r="AP99" s="65" t="s">
        <v>325</v>
      </c>
      <c r="AQ99" s="54" t="s">
        <v>327</v>
      </c>
    </row>
    <row r="100" spans="1:37" ht="12.75">
      <c r="A100" s="11"/>
      <c r="B100" s="24"/>
      <c r="C100" s="24" t="s">
        <v>128</v>
      </c>
      <c r="D100" s="24" t="s">
        <v>233</v>
      </c>
      <c r="E100" s="36"/>
      <c r="F100" s="36"/>
      <c r="G100" s="36"/>
      <c r="H100" s="67">
        <f>SUM(H101:H101)</f>
        <v>0</v>
      </c>
      <c r="I100" s="67">
        <f>SUM(I101:I101)</f>
        <v>0</v>
      </c>
      <c r="J100" s="67">
        <f>H100+I100</f>
        <v>0</v>
      </c>
      <c r="K100" s="54"/>
      <c r="L100" s="67">
        <f>SUM(L101:L101)</f>
        <v>0</v>
      </c>
      <c r="M100" s="54"/>
      <c r="P100" s="67">
        <f>IF(Q100="PR",J100,SUM(O101:O101))</f>
        <v>0</v>
      </c>
      <c r="Q100" s="54" t="s">
        <v>282</v>
      </c>
      <c r="R100" s="67">
        <f>IF(Q100="HS",H100,0)</f>
        <v>0</v>
      </c>
      <c r="S100" s="67">
        <f>IF(Q100="HS",I100-P100,0)</f>
        <v>0</v>
      </c>
      <c r="T100" s="67">
        <f>IF(Q100="PS",H100,0)</f>
        <v>0</v>
      </c>
      <c r="U100" s="67">
        <f>IF(Q100="PS",I100-P100,0)</f>
        <v>0</v>
      </c>
      <c r="V100" s="67">
        <f>IF(Q100="MP",H100,0)</f>
        <v>0</v>
      </c>
      <c r="W100" s="67">
        <f>IF(Q100="MP",I100-P100,0)</f>
        <v>0</v>
      </c>
      <c r="X100" s="67">
        <f>IF(Q100="OM",H100,0)</f>
        <v>0</v>
      </c>
      <c r="Y100" s="54"/>
      <c r="AI100" s="67">
        <f>SUM(Z101:Z101)</f>
        <v>0</v>
      </c>
      <c r="AJ100" s="67">
        <f>SUM(AA101:AA101)</f>
        <v>0</v>
      </c>
      <c r="AK100" s="67">
        <f>SUM(AB101:AB101)</f>
        <v>0</v>
      </c>
    </row>
    <row r="101" spans="1:43" ht="12.75">
      <c r="A101" s="10" t="s">
        <v>53</v>
      </c>
      <c r="B101" s="10"/>
      <c r="C101" s="10" t="s">
        <v>129</v>
      </c>
      <c r="D101" s="10" t="s">
        <v>234</v>
      </c>
      <c r="E101" s="10" t="s">
        <v>261</v>
      </c>
      <c r="F101" s="39">
        <v>5.6243</v>
      </c>
      <c r="G101" s="39">
        <v>0</v>
      </c>
      <c r="H101" s="39">
        <f>F101*AE101</f>
        <v>0</v>
      </c>
      <c r="I101" s="39">
        <f>J101-H101</f>
        <v>0</v>
      </c>
      <c r="J101" s="39">
        <f>F101*G101</f>
        <v>0</v>
      </c>
      <c r="K101" s="39">
        <v>0</v>
      </c>
      <c r="L101" s="39">
        <f>F101*K101</f>
        <v>0</v>
      </c>
      <c r="M101" s="60" t="s">
        <v>278</v>
      </c>
      <c r="N101" s="60" t="s">
        <v>11</v>
      </c>
      <c r="O101" s="39">
        <f>IF(N101="5",I101,0)</f>
        <v>0</v>
      </c>
      <c r="Z101" s="39">
        <f>IF(AD101=0,J101,0)</f>
        <v>0</v>
      </c>
      <c r="AA101" s="39">
        <f>IF(AD101=15,J101,0)</f>
        <v>0</v>
      </c>
      <c r="AB101" s="39">
        <f>IF(AD101=21,J101,0)</f>
        <v>0</v>
      </c>
      <c r="AD101" s="64">
        <v>15</v>
      </c>
      <c r="AE101" s="64">
        <f>G101*0</f>
        <v>0</v>
      </c>
      <c r="AF101" s="64">
        <f>G101*(1-0)</f>
        <v>0</v>
      </c>
      <c r="AM101" s="64">
        <f>F101*AE101</f>
        <v>0</v>
      </c>
      <c r="AN101" s="64">
        <f>F101*AF101</f>
        <v>0</v>
      </c>
      <c r="AO101" s="65" t="s">
        <v>314</v>
      </c>
      <c r="AP101" s="65" t="s">
        <v>325</v>
      </c>
      <c r="AQ101" s="54" t="s">
        <v>327</v>
      </c>
    </row>
    <row r="102" spans="1:37" ht="12.75">
      <c r="A102" s="11"/>
      <c r="B102" s="24"/>
      <c r="C102" s="24" t="s">
        <v>130</v>
      </c>
      <c r="D102" s="24" t="s">
        <v>235</v>
      </c>
      <c r="E102" s="36"/>
      <c r="F102" s="36"/>
      <c r="G102" s="36"/>
      <c r="H102" s="67">
        <f>SUM(H103:H103)</f>
        <v>0</v>
      </c>
      <c r="I102" s="67">
        <f>SUM(I103:I103)</f>
        <v>0</v>
      </c>
      <c r="J102" s="67">
        <f>H102+I102</f>
        <v>0</v>
      </c>
      <c r="K102" s="54"/>
      <c r="L102" s="67">
        <f>SUM(L103:L103)</f>
        <v>0</v>
      </c>
      <c r="M102" s="54"/>
      <c r="P102" s="67">
        <f>IF(Q102="PR",J102,SUM(O103:O103))</f>
        <v>0</v>
      </c>
      <c r="Q102" s="54" t="s">
        <v>284</v>
      </c>
      <c r="R102" s="67">
        <f>IF(Q102="HS",H102,0)</f>
        <v>0</v>
      </c>
      <c r="S102" s="67">
        <f>IF(Q102="HS",I102-P102,0)</f>
        <v>0</v>
      </c>
      <c r="T102" s="67">
        <f>IF(Q102="PS",H102,0)</f>
        <v>0</v>
      </c>
      <c r="U102" s="67">
        <f>IF(Q102="PS",I102-P102,0)</f>
        <v>0</v>
      </c>
      <c r="V102" s="67">
        <f>IF(Q102="MP",H102,0)</f>
        <v>0</v>
      </c>
      <c r="W102" s="67">
        <f>IF(Q102="MP",I102-P102,0)</f>
        <v>0</v>
      </c>
      <c r="X102" s="67">
        <f>IF(Q102="OM",H102,0)</f>
        <v>0</v>
      </c>
      <c r="Y102" s="54"/>
      <c r="AI102" s="67">
        <f>SUM(Z103:Z103)</f>
        <v>0</v>
      </c>
      <c r="AJ102" s="67">
        <f>SUM(AA103:AA103)</f>
        <v>0</v>
      </c>
      <c r="AK102" s="67">
        <f>SUM(AB103:AB103)</f>
        <v>0</v>
      </c>
    </row>
    <row r="103" spans="1:43" ht="12.75">
      <c r="A103" s="10" t="s">
        <v>54</v>
      </c>
      <c r="B103" s="10"/>
      <c r="C103" s="10" t="s">
        <v>131</v>
      </c>
      <c r="D103" s="10" t="s">
        <v>236</v>
      </c>
      <c r="E103" s="10" t="s">
        <v>258</v>
      </c>
      <c r="F103" s="39">
        <v>22</v>
      </c>
      <c r="G103" s="39">
        <v>0</v>
      </c>
      <c r="H103" s="39">
        <f>F103*AE103</f>
        <v>0</v>
      </c>
      <c r="I103" s="39">
        <f>J103-H103</f>
        <v>0</v>
      </c>
      <c r="J103" s="39">
        <f>F103*G103</f>
        <v>0</v>
      </c>
      <c r="K103" s="39">
        <v>0</v>
      </c>
      <c r="L103" s="39">
        <f>F103*K103</f>
        <v>0</v>
      </c>
      <c r="M103" s="60" t="s">
        <v>278</v>
      </c>
      <c r="N103" s="60" t="s">
        <v>8</v>
      </c>
      <c r="O103" s="39">
        <f>IF(N103="5",I103,0)</f>
        <v>0</v>
      </c>
      <c r="Z103" s="39">
        <f>IF(AD103=0,J103,0)</f>
        <v>0</v>
      </c>
      <c r="AA103" s="39">
        <f>IF(AD103=15,J103,0)</f>
        <v>0</v>
      </c>
      <c r="AB103" s="39">
        <f>IF(AD103=21,J103,0)</f>
        <v>0</v>
      </c>
      <c r="AD103" s="64">
        <v>15</v>
      </c>
      <c r="AE103" s="64">
        <f>G103*0</f>
        <v>0</v>
      </c>
      <c r="AF103" s="64">
        <f>G103*(1-0)</f>
        <v>0</v>
      </c>
      <c r="AM103" s="64">
        <f>F103*AE103</f>
        <v>0</v>
      </c>
      <c r="AN103" s="64">
        <f>F103*AF103</f>
        <v>0</v>
      </c>
      <c r="AO103" s="65" t="s">
        <v>315</v>
      </c>
      <c r="AP103" s="65" t="s">
        <v>325</v>
      </c>
      <c r="AQ103" s="54" t="s">
        <v>327</v>
      </c>
    </row>
    <row r="104" spans="1:37" ht="12.75">
      <c r="A104" s="11"/>
      <c r="B104" s="24"/>
      <c r="C104" s="24" t="s">
        <v>132</v>
      </c>
      <c r="D104" s="24" t="s">
        <v>237</v>
      </c>
      <c r="E104" s="36"/>
      <c r="F104" s="36"/>
      <c r="G104" s="36"/>
      <c r="H104" s="67">
        <f>SUM(H105:H106)</f>
        <v>0</v>
      </c>
      <c r="I104" s="67">
        <f>SUM(I105:I106)</f>
        <v>0</v>
      </c>
      <c r="J104" s="67">
        <f>H104+I104</f>
        <v>0</v>
      </c>
      <c r="K104" s="54"/>
      <c r="L104" s="67">
        <f>SUM(L105:L106)</f>
        <v>0</v>
      </c>
      <c r="M104" s="54"/>
      <c r="P104" s="67">
        <f>IF(Q104="PR",J104,SUM(O105:O106))</f>
        <v>0</v>
      </c>
      <c r="Q104" s="54" t="s">
        <v>282</v>
      </c>
      <c r="R104" s="67">
        <f>IF(Q104="HS",H104,0)</f>
        <v>0</v>
      </c>
      <c r="S104" s="67">
        <f>IF(Q104="HS",I104-P104,0)</f>
        <v>0</v>
      </c>
      <c r="T104" s="67">
        <f>IF(Q104="PS",H104,0)</f>
        <v>0</v>
      </c>
      <c r="U104" s="67">
        <f>IF(Q104="PS",I104-P104,0)</f>
        <v>0</v>
      </c>
      <c r="V104" s="67">
        <f>IF(Q104="MP",H104,0)</f>
        <v>0</v>
      </c>
      <c r="W104" s="67">
        <f>IF(Q104="MP",I104-P104,0)</f>
        <v>0</v>
      </c>
      <c r="X104" s="67">
        <f>IF(Q104="OM",H104,0)</f>
        <v>0</v>
      </c>
      <c r="Y104" s="54"/>
      <c r="AI104" s="67">
        <f>SUM(Z105:Z106)</f>
        <v>0</v>
      </c>
      <c r="AJ104" s="67">
        <f>SUM(AA105:AA106)</f>
        <v>0</v>
      </c>
      <c r="AK104" s="67">
        <f>SUM(AB105:AB106)</f>
        <v>0</v>
      </c>
    </row>
    <row r="105" spans="1:43" ht="12.75">
      <c r="A105" s="10" t="s">
        <v>55</v>
      </c>
      <c r="B105" s="10"/>
      <c r="C105" s="10" t="s">
        <v>133</v>
      </c>
      <c r="D105" s="10" t="s">
        <v>238</v>
      </c>
      <c r="E105" s="10" t="s">
        <v>261</v>
      </c>
      <c r="F105" s="39">
        <v>17.11</v>
      </c>
      <c r="G105" s="39">
        <v>0</v>
      </c>
      <c r="H105" s="39">
        <f>F105*AE105</f>
        <v>0</v>
      </c>
      <c r="I105" s="39">
        <f>J105-H105</f>
        <v>0</v>
      </c>
      <c r="J105" s="39">
        <f>F105*G105</f>
        <v>0</v>
      </c>
      <c r="K105" s="39">
        <v>0</v>
      </c>
      <c r="L105" s="39">
        <f>F105*K105</f>
        <v>0</v>
      </c>
      <c r="M105" s="60" t="s">
        <v>278</v>
      </c>
      <c r="N105" s="60" t="s">
        <v>11</v>
      </c>
      <c r="O105" s="39">
        <f>IF(N105="5",I105,0)</f>
        <v>0</v>
      </c>
      <c r="Z105" s="39">
        <f>IF(AD105=0,J105,0)</f>
        <v>0</v>
      </c>
      <c r="AA105" s="39">
        <f>IF(AD105=15,J105,0)</f>
        <v>0</v>
      </c>
      <c r="AB105" s="39">
        <f>IF(AD105=21,J105,0)</f>
        <v>0</v>
      </c>
      <c r="AD105" s="64">
        <v>15</v>
      </c>
      <c r="AE105" s="64">
        <f>G105*0</f>
        <v>0</v>
      </c>
      <c r="AF105" s="64">
        <f>G105*(1-0)</f>
        <v>0</v>
      </c>
      <c r="AM105" s="64">
        <f>F105*AE105</f>
        <v>0</v>
      </c>
      <c r="AN105" s="64">
        <f>F105*AF105</f>
        <v>0</v>
      </c>
      <c r="AO105" s="65" t="s">
        <v>316</v>
      </c>
      <c r="AP105" s="65" t="s">
        <v>325</v>
      </c>
      <c r="AQ105" s="54" t="s">
        <v>327</v>
      </c>
    </row>
    <row r="106" spans="1:43" ht="12.75">
      <c r="A106" s="10" t="s">
        <v>56</v>
      </c>
      <c r="B106" s="10"/>
      <c r="C106" s="10" t="s">
        <v>134</v>
      </c>
      <c r="D106" s="10" t="s">
        <v>239</v>
      </c>
      <c r="E106" s="10" t="s">
        <v>261</v>
      </c>
      <c r="F106" s="39">
        <v>17.11</v>
      </c>
      <c r="G106" s="39">
        <v>0</v>
      </c>
      <c r="H106" s="39">
        <f>F106*AE106</f>
        <v>0</v>
      </c>
      <c r="I106" s="39">
        <f>J106-H106</f>
        <v>0</v>
      </c>
      <c r="J106" s="39">
        <f>F106*G106</f>
        <v>0</v>
      </c>
      <c r="K106" s="39">
        <v>0</v>
      </c>
      <c r="L106" s="39">
        <f>F106*K106</f>
        <v>0</v>
      </c>
      <c r="M106" s="60" t="s">
        <v>278</v>
      </c>
      <c r="N106" s="60" t="s">
        <v>11</v>
      </c>
      <c r="O106" s="39">
        <f>IF(N106="5",I106,0)</f>
        <v>0</v>
      </c>
      <c r="Z106" s="39">
        <f>IF(AD106=0,J106,0)</f>
        <v>0</v>
      </c>
      <c r="AA106" s="39">
        <f>IF(AD106=15,J106,0)</f>
        <v>0</v>
      </c>
      <c r="AB106" s="39">
        <f>IF(AD106=21,J106,0)</f>
        <v>0</v>
      </c>
      <c r="AD106" s="64">
        <v>15</v>
      </c>
      <c r="AE106" s="64">
        <f>G106*0</f>
        <v>0</v>
      </c>
      <c r="AF106" s="64">
        <f>G106*(1-0)</f>
        <v>0</v>
      </c>
      <c r="AM106" s="64">
        <f>F106*AE106</f>
        <v>0</v>
      </c>
      <c r="AN106" s="64">
        <f>F106*AF106</f>
        <v>0</v>
      </c>
      <c r="AO106" s="65" t="s">
        <v>316</v>
      </c>
      <c r="AP106" s="65" t="s">
        <v>325</v>
      </c>
      <c r="AQ106" s="54" t="s">
        <v>327</v>
      </c>
    </row>
    <row r="107" spans="1:37" ht="12.75">
      <c r="A107" s="11"/>
      <c r="B107" s="24"/>
      <c r="C107" s="24"/>
      <c r="D107" s="24" t="s">
        <v>240</v>
      </c>
      <c r="E107" s="36"/>
      <c r="F107" s="36"/>
      <c r="G107" s="36"/>
      <c r="H107" s="67">
        <f>SUM(H108:H115)</f>
        <v>0</v>
      </c>
      <c r="I107" s="67">
        <f>SUM(I108:I115)</f>
        <v>0</v>
      </c>
      <c r="J107" s="67">
        <f>H107+I107</f>
        <v>0</v>
      </c>
      <c r="K107" s="54"/>
      <c r="L107" s="67">
        <f>SUM(L108:L115)</f>
        <v>14.146130000000001</v>
      </c>
      <c r="M107" s="54"/>
      <c r="P107" s="67">
        <f>IF(Q107="PR",J107,SUM(O108:O115))</f>
        <v>0</v>
      </c>
      <c r="Q107" s="54" t="s">
        <v>285</v>
      </c>
      <c r="R107" s="67">
        <f>IF(Q107="HS",H107,0)</f>
        <v>0</v>
      </c>
      <c r="S107" s="67">
        <f>IF(Q107="HS",I107-P107,0)</f>
        <v>0</v>
      </c>
      <c r="T107" s="67">
        <f>IF(Q107="PS",H107,0)</f>
        <v>0</v>
      </c>
      <c r="U107" s="67">
        <f>IF(Q107="PS",I107-P107,0)</f>
        <v>0</v>
      </c>
      <c r="V107" s="67">
        <f>IF(Q107="MP",H107,0)</f>
        <v>0</v>
      </c>
      <c r="W107" s="67">
        <f>IF(Q107="MP",I107-P107,0)</f>
        <v>0</v>
      </c>
      <c r="X107" s="67">
        <f>IF(Q107="OM",H107,0)</f>
        <v>0</v>
      </c>
      <c r="Y107" s="54"/>
      <c r="AI107" s="67">
        <f>SUM(Z108:Z115)</f>
        <v>0</v>
      </c>
      <c r="AJ107" s="67">
        <f>SUM(AA108:AA115)</f>
        <v>0</v>
      </c>
      <c r="AK107" s="67">
        <f>SUM(AB108:AB115)</f>
        <v>0</v>
      </c>
    </row>
    <row r="108" spans="1:43" ht="12.75">
      <c r="A108" s="12" t="s">
        <v>57</v>
      </c>
      <c r="B108" s="12"/>
      <c r="C108" s="12" t="s">
        <v>135</v>
      </c>
      <c r="D108" s="12" t="s">
        <v>241</v>
      </c>
      <c r="E108" s="12" t="s">
        <v>257</v>
      </c>
      <c r="F108" s="40">
        <v>7</v>
      </c>
      <c r="G108" s="40">
        <v>0</v>
      </c>
      <c r="H108" s="40">
        <f>F108*AE108</f>
        <v>0</v>
      </c>
      <c r="I108" s="40">
        <f>J108-H108</f>
        <v>0</v>
      </c>
      <c r="J108" s="40">
        <f>F108*G108</f>
        <v>0</v>
      </c>
      <c r="K108" s="40">
        <v>0.0007</v>
      </c>
      <c r="L108" s="40">
        <f>F108*K108</f>
        <v>0.0049</v>
      </c>
      <c r="M108" s="61" t="s">
        <v>278</v>
      </c>
      <c r="N108" s="61" t="s">
        <v>279</v>
      </c>
      <c r="O108" s="40">
        <f>IF(N108="5",I108,0)</f>
        <v>0</v>
      </c>
      <c r="Z108" s="40">
        <f>IF(AD108=0,J108,0)</f>
        <v>0</v>
      </c>
      <c r="AA108" s="40">
        <f>IF(AD108=15,J108,0)</f>
        <v>0</v>
      </c>
      <c r="AB108" s="40">
        <f>IF(AD108=21,J108,0)</f>
        <v>0</v>
      </c>
      <c r="AD108" s="64">
        <v>15</v>
      </c>
      <c r="AE108" s="64">
        <f>G108*1</f>
        <v>0</v>
      </c>
      <c r="AF108" s="64">
        <f>G108*(1-1)</f>
        <v>0</v>
      </c>
      <c r="AM108" s="64">
        <f>F108*AE108</f>
        <v>0</v>
      </c>
      <c r="AN108" s="64">
        <f>F108*AF108</f>
        <v>0</v>
      </c>
      <c r="AO108" s="65" t="s">
        <v>317</v>
      </c>
      <c r="AP108" s="65" t="s">
        <v>326</v>
      </c>
      <c r="AQ108" s="54" t="s">
        <v>327</v>
      </c>
    </row>
    <row r="109" spans="3:13" ht="12.75">
      <c r="C109" s="25" t="s">
        <v>62</v>
      </c>
      <c r="D109" s="30" t="s">
        <v>242</v>
      </c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43" ht="12.75">
      <c r="A110" s="12" t="s">
        <v>58</v>
      </c>
      <c r="B110" s="12"/>
      <c r="C110" s="12" t="s">
        <v>136</v>
      </c>
      <c r="D110" s="12" t="s">
        <v>243</v>
      </c>
      <c r="E110" s="12" t="s">
        <v>261</v>
      </c>
      <c r="F110" s="40">
        <v>14</v>
      </c>
      <c r="G110" s="40">
        <v>0</v>
      </c>
      <c r="H110" s="40">
        <f>F110*AE110</f>
        <v>0</v>
      </c>
      <c r="I110" s="40">
        <f>J110-H110</f>
        <v>0</v>
      </c>
      <c r="J110" s="40">
        <f>F110*G110</f>
        <v>0</v>
      </c>
      <c r="K110" s="40">
        <v>1</v>
      </c>
      <c r="L110" s="40">
        <f>F110*K110</f>
        <v>14</v>
      </c>
      <c r="M110" s="61" t="s">
        <v>278</v>
      </c>
      <c r="N110" s="61" t="s">
        <v>279</v>
      </c>
      <c r="O110" s="40">
        <f>IF(N110="5",I110,0)</f>
        <v>0</v>
      </c>
      <c r="Z110" s="40">
        <f>IF(AD110=0,J110,0)</f>
        <v>0</v>
      </c>
      <c r="AA110" s="40">
        <f>IF(AD110=15,J110,0)</f>
        <v>0</v>
      </c>
      <c r="AB110" s="40">
        <f>IF(AD110=21,J110,0)</f>
        <v>0</v>
      </c>
      <c r="AD110" s="64">
        <v>15</v>
      </c>
      <c r="AE110" s="64">
        <f>G110*1</f>
        <v>0</v>
      </c>
      <c r="AF110" s="64">
        <f>G110*(1-1)</f>
        <v>0</v>
      </c>
      <c r="AM110" s="64">
        <f>F110*AE110</f>
        <v>0</v>
      </c>
      <c r="AN110" s="64">
        <f>F110*AF110</f>
        <v>0</v>
      </c>
      <c r="AO110" s="65" t="s">
        <v>317</v>
      </c>
      <c r="AP110" s="65" t="s">
        <v>326</v>
      </c>
      <c r="AQ110" s="54" t="s">
        <v>327</v>
      </c>
    </row>
    <row r="111" spans="1:43" ht="12.75">
      <c r="A111" s="12" t="s">
        <v>59</v>
      </c>
      <c r="B111" s="12"/>
      <c r="C111" s="12" t="s">
        <v>137</v>
      </c>
      <c r="D111" s="12" t="s">
        <v>244</v>
      </c>
      <c r="E111" s="12" t="s">
        <v>257</v>
      </c>
      <c r="F111" s="40">
        <v>1</v>
      </c>
      <c r="G111" s="40">
        <v>0</v>
      </c>
      <c r="H111" s="40">
        <f>F111*AE111</f>
        <v>0</v>
      </c>
      <c r="I111" s="40">
        <f>J111-H111</f>
        <v>0</v>
      </c>
      <c r="J111" s="40">
        <f>F111*G111</f>
        <v>0</v>
      </c>
      <c r="K111" s="40">
        <v>0.00195</v>
      </c>
      <c r="L111" s="40">
        <f>F111*K111</f>
        <v>0.00195</v>
      </c>
      <c r="M111" s="61" t="s">
        <v>278</v>
      </c>
      <c r="N111" s="61" t="s">
        <v>279</v>
      </c>
      <c r="O111" s="40">
        <f>IF(N111="5",I111,0)</f>
        <v>0</v>
      </c>
      <c r="Z111" s="40">
        <f>IF(AD111=0,J111,0)</f>
        <v>0</v>
      </c>
      <c r="AA111" s="40">
        <f>IF(AD111=15,J111,0)</f>
        <v>0</v>
      </c>
      <c r="AB111" s="40">
        <f>IF(AD111=21,J111,0)</f>
        <v>0</v>
      </c>
      <c r="AD111" s="64">
        <v>15</v>
      </c>
      <c r="AE111" s="64">
        <f>G111*1</f>
        <v>0</v>
      </c>
      <c r="AF111" s="64">
        <f>G111*(1-1)</f>
        <v>0</v>
      </c>
      <c r="AM111" s="64">
        <f>F111*AE111</f>
        <v>0</v>
      </c>
      <c r="AN111" s="64">
        <f>F111*AF111</f>
        <v>0</v>
      </c>
      <c r="AO111" s="65" t="s">
        <v>317</v>
      </c>
      <c r="AP111" s="65" t="s">
        <v>326</v>
      </c>
      <c r="AQ111" s="54" t="s">
        <v>327</v>
      </c>
    </row>
    <row r="112" spans="3:13" ht="12.75">
      <c r="C112" s="25" t="s">
        <v>62</v>
      </c>
      <c r="D112" s="30" t="s">
        <v>245</v>
      </c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43" ht="12.75">
      <c r="A113" s="12" t="s">
        <v>60</v>
      </c>
      <c r="B113" s="12"/>
      <c r="C113" s="12" t="s">
        <v>138</v>
      </c>
      <c r="D113" s="12" t="s">
        <v>246</v>
      </c>
      <c r="E113" s="12" t="s">
        <v>257</v>
      </c>
      <c r="F113" s="40">
        <v>2</v>
      </c>
      <c r="G113" s="40">
        <v>0</v>
      </c>
      <c r="H113" s="40">
        <f>F113*AE113</f>
        <v>0</v>
      </c>
      <c r="I113" s="40">
        <f>J113-H113</f>
        <v>0</v>
      </c>
      <c r="J113" s="40">
        <f>F113*G113</f>
        <v>0</v>
      </c>
      <c r="K113" s="40">
        <v>0.03014</v>
      </c>
      <c r="L113" s="40">
        <f>F113*K113</f>
        <v>0.06028</v>
      </c>
      <c r="M113" s="61" t="s">
        <v>278</v>
      </c>
      <c r="N113" s="61" t="s">
        <v>279</v>
      </c>
      <c r="O113" s="40">
        <f>IF(N113="5",I113,0)</f>
        <v>0</v>
      </c>
      <c r="Z113" s="40">
        <f>IF(AD113=0,J113,0)</f>
        <v>0</v>
      </c>
      <c r="AA113" s="40">
        <f>IF(AD113=15,J113,0)</f>
        <v>0</v>
      </c>
      <c r="AB113" s="40">
        <f>IF(AD113=21,J113,0)</f>
        <v>0</v>
      </c>
      <c r="AD113" s="64">
        <v>15</v>
      </c>
      <c r="AE113" s="64">
        <f>G113*1</f>
        <v>0</v>
      </c>
      <c r="AF113" s="64">
        <f>G113*(1-1)</f>
        <v>0</v>
      </c>
      <c r="AM113" s="64">
        <f>F113*AE113</f>
        <v>0</v>
      </c>
      <c r="AN113" s="64">
        <f>F113*AF113</f>
        <v>0</v>
      </c>
      <c r="AO113" s="65" t="s">
        <v>317</v>
      </c>
      <c r="AP113" s="65" t="s">
        <v>326</v>
      </c>
      <c r="AQ113" s="54" t="s">
        <v>327</v>
      </c>
    </row>
    <row r="114" spans="3:13" ht="12.75">
      <c r="C114" s="25" t="s">
        <v>62</v>
      </c>
      <c r="D114" s="30" t="s">
        <v>247</v>
      </c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43" ht="12.75">
      <c r="A115" s="12" t="s">
        <v>61</v>
      </c>
      <c r="B115" s="12"/>
      <c r="C115" s="12" t="s">
        <v>139</v>
      </c>
      <c r="D115" s="12" t="s">
        <v>248</v>
      </c>
      <c r="E115" s="12" t="s">
        <v>256</v>
      </c>
      <c r="F115" s="40">
        <v>395</v>
      </c>
      <c r="G115" s="40">
        <v>0</v>
      </c>
      <c r="H115" s="40">
        <f>F115*AE115</f>
        <v>0</v>
      </c>
      <c r="I115" s="40">
        <f>J115-H115</f>
        <v>0</v>
      </c>
      <c r="J115" s="40">
        <f>F115*G115</f>
        <v>0</v>
      </c>
      <c r="K115" s="40">
        <v>0.0002</v>
      </c>
      <c r="L115" s="40">
        <f>F115*K115</f>
        <v>0.079</v>
      </c>
      <c r="M115" s="61" t="s">
        <v>278</v>
      </c>
      <c r="N115" s="61" t="s">
        <v>279</v>
      </c>
      <c r="O115" s="40">
        <f>IF(N115="5",I115,0)</f>
        <v>0</v>
      </c>
      <c r="Z115" s="40">
        <f>IF(AD115=0,J115,0)</f>
        <v>0</v>
      </c>
      <c r="AA115" s="40">
        <f>IF(AD115=15,J115,0)</f>
        <v>0</v>
      </c>
      <c r="AB115" s="40">
        <f>IF(AD115=21,J115,0)</f>
        <v>0</v>
      </c>
      <c r="AD115" s="64">
        <v>15</v>
      </c>
      <c r="AE115" s="64">
        <f>G115*1</f>
        <v>0</v>
      </c>
      <c r="AF115" s="64">
        <f>G115*(1-1)</f>
        <v>0</v>
      </c>
      <c r="AM115" s="64">
        <f>F115*AE115</f>
        <v>0</v>
      </c>
      <c r="AN115" s="64">
        <f>F115*AF115</f>
        <v>0</v>
      </c>
      <c r="AO115" s="65" t="s">
        <v>317</v>
      </c>
      <c r="AP115" s="65" t="s">
        <v>326</v>
      </c>
      <c r="AQ115" s="54" t="s">
        <v>327</v>
      </c>
    </row>
    <row r="116" spans="1:13" ht="12.75">
      <c r="A116" s="13"/>
      <c r="B116" s="13"/>
      <c r="C116" s="26" t="s">
        <v>62</v>
      </c>
      <c r="D116" s="31" t="s">
        <v>249</v>
      </c>
      <c r="E116" s="37"/>
      <c r="F116" s="37"/>
      <c r="G116" s="37"/>
      <c r="H116" s="37"/>
      <c r="I116" s="37"/>
      <c r="J116" s="37"/>
      <c r="K116" s="37"/>
      <c r="L116" s="37"/>
      <c r="M116" s="37"/>
    </row>
    <row r="117" spans="1:28" ht="12.75">
      <c r="A117" s="14"/>
      <c r="B117" s="14"/>
      <c r="C117" s="14"/>
      <c r="D117" s="14"/>
      <c r="E117" s="14"/>
      <c r="F117" s="14"/>
      <c r="G117" s="14"/>
      <c r="H117" s="46" t="s">
        <v>267</v>
      </c>
      <c r="I117" s="50"/>
      <c r="J117" s="68">
        <f>J12+J15+J19+J21+J23+J26+J31+J51+J53+J56+J59+J64+J67+J69+J71+J74+J77+J82+J86+J91+J93+J100+J102+J104+J107</f>
        <v>0</v>
      </c>
      <c r="K117" s="14"/>
      <c r="L117" s="14"/>
      <c r="M117" s="14"/>
      <c r="Z117" s="69">
        <f>SUM(Z13:Z116)</f>
        <v>0</v>
      </c>
      <c r="AA117" s="69">
        <f>SUM(AA13:AA116)</f>
        <v>0</v>
      </c>
      <c r="AB117" s="69">
        <f>SUM(AB13:AB116)</f>
        <v>0</v>
      </c>
    </row>
    <row r="118" ht="11.25" customHeight="1">
      <c r="A118" s="15" t="s">
        <v>62</v>
      </c>
    </row>
    <row r="119" spans="1:13" ht="12.75">
      <c r="A119" s="16" t="s">
        <v>63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</sheetData>
  <mergeCells count="7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4:M14"/>
    <mergeCell ref="D15:G15"/>
    <mergeCell ref="D18:M18"/>
    <mergeCell ref="D19:G19"/>
    <mergeCell ref="D21:G21"/>
    <mergeCell ref="D23:G23"/>
    <mergeCell ref="D25:M25"/>
    <mergeCell ref="D26:G26"/>
    <mergeCell ref="D30:M30"/>
    <mergeCell ref="D31:G31"/>
    <mergeCell ref="D38:M38"/>
    <mergeCell ref="D40:M40"/>
    <mergeCell ref="D44:M44"/>
    <mergeCell ref="D46:M46"/>
    <mergeCell ref="D48:M48"/>
    <mergeCell ref="D50:M50"/>
    <mergeCell ref="D51:G51"/>
    <mergeCell ref="D53:G53"/>
    <mergeCell ref="D55:M55"/>
    <mergeCell ref="D56:G56"/>
    <mergeCell ref="D58:M58"/>
    <mergeCell ref="D59:G59"/>
    <mergeCell ref="D63:M63"/>
    <mergeCell ref="D64:G64"/>
    <mergeCell ref="D67:G67"/>
    <mergeCell ref="D69:G69"/>
    <mergeCell ref="D71:G71"/>
    <mergeCell ref="D73:M73"/>
    <mergeCell ref="D74:G74"/>
    <mergeCell ref="D76:M76"/>
    <mergeCell ref="D77:G77"/>
    <mergeCell ref="D79:M79"/>
    <mergeCell ref="D81:M81"/>
    <mergeCell ref="D82:G82"/>
    <mergeCell ref="D84:M84"/>
    <mergeCell ref="D86:G86"/>
    <mergeCell ref="D89:M89"/>
    <mergeCell ref="D91:G91"/>
    <mergeCell ref="D93:G93"/>
    <mergeCell ref="D95:M95"/>
    <mergeCell ref="D97:M97"/>
    <mergeCell ref="D100:G100"/>
    <mergeCell ref="D102:G102"/>
    <mergeCell ref="D104:G104"/>
    <mergeCell ref="D107:G107"/>
    <mergeCell ref="D109:M109"/>
    <mergeCell ref="D112:M112"/>
    <mergeCell ref="D114:M114"/>
    <mergeCell ref="D116:M116"/>
    <mergeCell ref="H117:I117"/>
    <mergeCell ref="A119:M11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72.75" customHeight="1">
      <c r="A1" s="113"/>
      <c r="B1" s="13"/>
      <c r="C1" s="92" t="s">
        <v>342</v>
      </c>
      <c r="D1" s="98"/>
      <c r="E1" s="98"/>
      <c r="F1" s="98"/>
      <c r="G1" s="98"/>
      <c r="H1" s="98"/>
      <c r="I1" s="98"/>
    </row>
    <row r="2" spans="1:10" ht="12.75">
      <c r="A2" s="3" t="s">
        <v>1</v>
      </c>
      <c r="B2" s="18"/>
      <c r="C2" s="27" t="s">
        <v>140</v>
      </c>
      <c r="D2" s="50"/>
      <c r="E2" s="47" t="s">
        <v>268</v>
      </c>
      <c r="F2" s="47"/>
      <c r="G2" s="18"/>
      <c r="H2" s="47" t="s">
        <v>367</v>
      </c>
      <c r="I2" s="107"/>
      <c r="J2" s="62"/>
    </row>
    <row r="3" spans="1:10" ht="12.75">
      <c r="A3" s="4"/>
      <c r="B3" s="19"/>
      <c r="C3" s="28"/>
      <c r="D3" s="28"/>
      <c r="E3" s="19"/>
      <c r="F3" s="19"/>
      <c r="G3" s="19"/>
      <c r="H3" s="19"/>
      <c r="I3" s="56"/>
      <c r="J3" s="62"/>
    </row>
    <row r="4" spans="1:10" ht="12.75">
      <c r="A4" s="5" t="s">
        <v>2</v>
      </c>
      <c r="B4" s="19"/>
      <c r="C4" s="16" t="s">
        <v>141</v>
      </c>
      <c r="D4" s="19"/>
      <c r="E4" s="16" t="s">
        <v>269</v>
      </c>
      <c r="F4" s="16"/>
      <c r="G4" s="19"/>
      <c r="H4" s="16" t="s">
        <v>367</v>
      </c>
      <c r="I4" s="108"/>
      <c r="J4" s="62"/>
    </row>
    <row r="5" spans="1:10" ht="12.75">
      <c r="A5" s="4"/>
      <c r="B5" s="19"/>
      <c r="C5" s="19"/>
      <c r="D5" s="19"/>
      <c r="E5" s="19"/>
      <c r="F5" s="19"/>
      <c r="G5" s="19"/>
      <c r="H5" s="19"/>
      <c r="I5" s="56"/>
      <c r="J5" s="62"/>
    </row>
    <row r="6" spans="1:10" ht="12.75">
      <c r="A6" s="5" t="s">
        <v>3</v>
      </c>
      <c r="B6" s="19"/>
      <c r="C6" s="16" t="s">
        <v>142</v>
      </c>
      <c r="D6" s="19"/>
      <c r="E6" s="16" t="s">
        <v>270</v>
      </c>
      <c r="F6" s="16"/>
      <c r="G6" s="19"/>
      <c r="H6" s="16" t="s">
        <v>367</v>
      </c>
      <c r="I6" s="108"/>
      <c r="J6" s="62"/>
    </row>
    <row r="7" spans="1:10" ht="12.75">
      <c r="A7" s="4"/>
      <c r="B7" s="19"/>
      <c r="C7" s="19"/>
      <c r="D7" s="19"/>
      <c r="E7" s="19"/>
      <c r="F7" s="19"/>
      <c r="G7" s="19"/>
      <c r="H7" s="19"/>
      <c r="I7" s="56"/>
      <c r="J7" s="62"/>
    </row>
    <row r="8" spans="1:10" ht="12.75">
      <c r="A8" s="5" t="s">
        <v>251</v>
      </c>
      <c r="B8" s="19"/>
      <c r="C8" s="33" t="s">
        <v>6</v>
      </c>
      <c r="D8" s="19"/>
      <c r="E8" s="16" t="s">
        <v>252</v>
      </c>
      <c r="F8" s="19"/>
      <c r="G8" s="19"/>
      <c r="H8" s="33" t="s">
        <v>368</v>
      </c>
      <c r="I8" s="108" t="s">
        <v>61</v>
      </c>
      <c r="J8" s="62"/>
    </row>
    <row r="9" spans="1:10" ht="12.75">
      <c r="A9" s="4"/>
      <c r="B9" s="19"/>
      <c r="C9" s="19"/>
      <c r="D9" s="19"/>
      <c r="E9" s="19"/>
      <c r="F9" s="19"/>
      <c r="G9" s="19"/>
      <c r="H9" s="19"/>
      <c r="I9" s="56"/>
      <c r="J9" s="62"/>
    </row>
    <row r="10" spans="1:10" ht="12.75">
      <c r="A10" s="5" t="s">
        <v>4</v>
      </c>
      <c r="B10" s="19"/>
      <c r="C10" s="16">
        <v>8035919</v>
      </c>
      <c r="D10" s="19"/>
      <c r="E10" s="16" t="s">
        <v>271</v>
      </c>
      <c r="F10" s="16" t="s">
        <v>273</v>
      </c>
      <c r="G10" s="19"/>
      <c r="H10" s="33" t="s">
        <v>369</v>
      </c>
      <c r="I10" s="109">
        <v>42431</v>
      </c>
      <c r="J10" s="62"/>
    </row>
    <row r="11" spans="1:10" ht="12.75">
      <c r="A11" s="70"/>
      <c r="B11" s="82"/>
      <c r="C11" s="82"/>
      <c r="D11" s="82"/>
      <c r="E11" s="82"/>
      <c r="F11" s="82"/>
      <c r="G11" s="82"/>
      <c r="H11" s="82"/>
      <c r="I11" s="110"/>
      <c r="J11" s="62"/>
    </row>
    <row r="12" spans="1:9" ht="23.25" customHeight="1">
      <c r="A12" s="71" t="s">
        <v>328</v>
      </c>
      <c r="B12" s="83"/>
      <c r="C12" s="83"/>
      <c r="D12" s="83"/>
      <c r="E12" s="83"/>
      <c r="F12" s="83"/>
      <c r="G12" s="83"/>
      <c r="H12" s="83"/>
      <c r="I12" s="83"/>
    </row>
    <row r="13" spans="1:10" ht="26.25" customHeight="1">
      <c r="A13" s="72" t="s">
        <v>329</v>
      </c>
      <c r="B13" s="84" t="s">
        <v>340</v>
      </c>
      <c r="C13" s="93"/>
      <c r="D13" s="72" t="s">
        <v>343</v>
      </c>
      <c r="E13" s="84" t="s">
        <v>352</v>
      </c>
      <c r="F13" s="93"/>
      <c r="G13" s="72" t="s">
        <v>353</v>
      </c>
      <c r="H13" s="84" t="s">
        <v>370</v>
      </c>
      <c r="I13" s="93"/>
      <c r="J13" s="62"/>
    </row>
    <row r="14" spans="1:10" ht="15" customHeight="1">
      <c r="A14" s="73" t="s">
        <v>330</v>
      </c>
      <c r="B14" s="85" t="s">
        <v>341</v>
      </c>
      <c r="C14" s="102">
        <f>SUM('Stavební rozpočet'!R12:R116)</f>
        <v>0</v>
      </c>
      <c r="D14" s="99" t="s">
        <v>344</v>
      </c>
      <c r="E14" s="101"/>
      <c r="F14" s="102">
        <v>0</v>
      </c>
      <c r="G14" s="99" t="s">
        <v>354</v>
      </c>
      <c r="H14" s="101"/>
      <c r="I14" s="102">
        <v>0</v>
      </c>
      <c r="J14" s="62"/>
    </row>
    <row r="15" spans="1:10" ht="15" customHeight="1">
      <c r="A15" s="74"/>
      <c r="B15" s="85" t="s">
        <v>272</v>
      </c>
      <c r="C15" s="102">
        <f>SUM('Stavební rozpočet'!S12:S116)</f>
        <v>0</v>
      </c>
      <c r="D15" s="99" t="s">
        <v>345</v>
      </c>
      <c r="E15" s="101"/>
      <c r="F15" s="102">
        <v>0</v>
      </c>
      <c r="G15" s="99" t="s">
        <v>355</v>
      </c>
      <c r="H15" s="101"/>
      <c r="I15" s="102">
        <v>0</v>
      </c>
      <c r="J15" s="62"/>
    </row>
    <row r="16" spans="1:10" ht="15" customHeight="1">
      <c r="A16" s="73" t="s">
        <v>331</v>
      </c>
      <c r="B16" s="85" t="s">
        <v>341</v>
      </c>
      <c r="C16" s="102">
        <f>SUM('Stavební rozpočet'!T12:T116)</f>
        <v>0</v>
      </c>
      <c r="D16" s="99" t="s">
        <v>346</v>
      </c>
      <c r="E16" s="101"/>
      <c r="F16" s="102">
        <v>0</v>
      </c>
      <c r="G16" s="99" t="s">
        <v>356</v>
      </c>
      <c r="H16" s="101"/>
      <c r="I16" s="102">
        <v>0</v>
      </c>
      <c r="J16" s="62"/>
    </row>
    <row r="17" spans="1:10" ht="15" customHeight="1">
      <c r="A17" s="74"/>
      <c r="B17" s="85" t="s">
        <v>272</v>
      </c>
      <c r="C17" s="102">
        <f>SUM('Stavební rozpočet'!U12:U116)</f>
        <v>0</v>
      </c>
      <c r="D17" s="99"/>
      <c r="E17" s="101"/>
      <c r="F17" s="103"/>
      <c r="G17" s="99" t="s">
        <v>357</v>
      </c>
      <c r="H17" s="101"/>
      <c r="I17" s="102">
        <v>0</v>
      </c>
      <c r="J17" s="62"/>
    </row>
    <row r="18" spans="1:10" ht="15" customHeight="1">
      <c r="A18" s="73" t="s">
        <v>332</v>
      </c>
      <c r="B18" s="85" t="s">
        <v>341</v>
      </c>
      <c r="C18" s="102">
        <f>SUM('Stavební rozpočet'!V12:V116)</f>
        <v>0</v>
      </c>
      <c r="D18" s="99"/>
      <c r="E18" s="101"/>
      <c r="F18" s="103"/>
      <c r="G18" s="99" t="s">
        <v>358</v>
      </c>
      <c r="H18" s="101"/>
      <c r="I18" s="102">
        <v>0</v>
      </c>
      <c r="J18" s="62"/>
    </row>
    <row r="19" spans="1:10" ht="15" customHeight="1">
      <c r="A19" s="74"/>
      <c r="B19" s="85" t="s">
        <v>272</v>
      </c>
      <c r="C19" s="102">
        <f>SUM('Stavební rozpočet'!W12:W116)</f>
        <v>0</v>
      </c>
      <c r="D19" s="99"/>
      <c r="E19" s="101"/>
      <c r="F19" s="103"/>
      <c r="G19" s="99" t="s">
        <v>359</v>
      </c>
      <c r="H19" s="101"/>
      <c r="I19" s="102">
        <v>0</v>
      </c>
      <c r="J19" s="62"/>
    </row>
    <row r="20" spans="1:10" ht="15" customHeight="1">
      <c r="A20" s="75" t="s">
        <v>240</v>
      </c>
      <c r="B20" s="86"/>
      <c r="C20" s="102">
        <f>SUM('Stavební rozpočet'!X12:X116)</f>
        <v>0</v>
      </c>
      <c r="D20" s="99"/>
      <c r="E20" s="101"/>
      <c r="F20" s="103"/>
      <c r="G20" s="99"/>
      <c r="H20" s="101"/>
      <c r="I20" s="103"/>
      <c r="J20" s="62"/>
    </row>
    <row r="21" spans="1:10" ht="15" customHeight="1">
      <c r="A21" s="75" t="s">
        <v>333</v>
      </c>
      <c r="B21" s="86"/>
      <c r="C21" s="102">
        <f>SUM('Stavební rozpočet'!P12:P116)</f>
        <v>0</v>
      </c>
      <c r="D21" s="99"/>
      <c r="E21" s="101"/>
      <c r="F21" s="103"/>
      <c r="G21" s="99"/>
      <c r="H21" s="101"/>
      <c r="I21" s="103"/>
      <c r="J21" s="62"/>
    </row>
    <row r="22" spans="1:10" ht="16.5" customHeight="1">
      <c r="A22" s="75" t="s">
        <v>334</v>
      </c>
      <c r="B22" s="86"/>
      <c r="C22" s="102">
        <f>SUM(C14:C21)</f>
        <v>0</v>
      </c>
      <c r="D22" s="75" t="s">
        <v>347</v>
      </c>
      <c r="E22" s="86"/>
      <c r="F22" s="102">
        <f>SUM(F14:F21)</f>
        <v>0</v>
      </c>
      <c r="G22" s="75" t="s">
        <v>360</v>
      </c>
      <c r="H22" s="86"/>
      <c r="I22" s="102">
        <f>SUM(I14:I21)</f>
        <v>0</v>
      </c>
      <c r="J22" s="62"/>
    </row>
    <row r="23" spans="1:10" ht="15" customHeight="1">
      <c r="A23" s="14"/>
      <c r="B23" s="14"/>
      <c r="C23" s="94"/>
      <c r="D23" s="75" t="s">
        <v>348</v>
      </c>
      <c r="E23" s="86"/>
      <c r="F23" s="104">
        <v>0</v>
      </c>
      <c r="G23" s="75" t="s">
        <v>361</v>
      </c>
      <c r="H23" s="86"/>
      <c r="I23" s="102">
        <v>0</v>
      </c>
      <c r="J23" s="62"/>
    </row>
    <row r="24" spans="4:9" ht="15" customHeight="1">
      <c r="D24" s="14"/>
      <c r="E24" s="14"/>
      <c r="F24" s="105"/>
      <c r="G24" s="75" t="s">
        <v>362</v>
      </c>
      <c r="H24" s="86"/>
      <c r="I24" s="111"/>
    </row>
    <row r="25" spans="6:10" ht="15" customHeight="1">
      <c r="F25" s="106"/>
      <c r="G25" s="75" t="s">
        <v>363</v>
      </c>
      <c r="H25" s="86"/>
      <c r="I25" s="102">
        <v>0</v>
      </c>
      <c r="J25" s="62"/>
    </row>
    <row r="26" spans="1:9" ht="12.75">
      <c r="A26" s="13"/>
      <c r="B26" s="13"/>
      <c r="C26" s="13"/>
      <c r="G26" s="14"/>
      <c r="H26" s="14"/>
      <c r="I26" s="14"/>
    </row>
    <row r="27" spans="1:9" ht="15" customHeight="1">
      <c r="A27" s="76" t="s">
        <v>335</v>
      </c>
      <c r="B27" s="87"/>
      <c r="C27" s="112">
        <f>SUM('Stavební rozpočet'!Z12:Z116)</f>
        <v>0</v>
      </c>
      <c r="D27" s="100"/>
      <c r="E27" s="13"/>
      <c r="F27" s="13"/>
      <c r="G27" s="13"/>
      <c r="H27" s="13"/>
      <c r="I27" s="13"/>
    </row>
    <row r="28" spans="1:10" ht="15" customHeight="1">
      <c r="A28" s="76" t="s">
        <v>336</v>
      </c>
      <c r="B28" s="87"/>
      <c r="C28" s="112">
        <f>SUM('Stavební rozpočet'!AA12:AA116)+(F22+I22+F23+I23+I24+I25)</f>
        <v>0</v>
      </c>
      <c r="D28" s="76" t="s">
        <v>349</v>
      </c>
      <c r="E28" s="87"/>
      <c r="F28" s="112">
        <f>ROUND(C28*(15/100),2)</f>
        <v>0</v>
      </c>
      <c r="G28" s="76" t="s">
        <v>364</v>
      </c>
      <c r="H28" s="87"/>
      <c r="I28" s="112">
        <f>SUM(C27:C29)</f>
        <v>0</v>
      </c>
      <c r="J28" s="62"/>
    </row>
    <row r="29" spans="1:10" ht="15" customHeight="1">
      <c r="A29" s="76" t="s">
        <v>337</v>
      </c>
      <c r="B29" s="87"/>
      <c r="C29" s="112">
        <f>SUM('Stavební rozpočet'!AB12:AB116)</f>
        <v>0</v>
      </c>
      <c r="D29" s="76" t="s">
        <v>350</v>
      </c>
      <c r="E29" s="87"/>
      <c r="F29" s="112">
        <f>ROUND(C29*(21/100),2)</f>
        <v>0</v>
      </c>
      <c r="G29" s="76" t="s">
        <v>365</v>
      </c>
      <c r="H29" s="87"/>
      <c r="I29" s="112">
        <f>SUM(F28:F29)+I28</f>
        <v>0</v>
      </c>
      <c r="J29" s="62"/>
    </row>
    <row r="30" spans="1:9" ht="12.75">
      <c r="A30" s="77"/>
      <c r="B30" s="77"/>
      <c r="C30" s="77"/>
      <c r="D30" s="77"/>
      <c r="E30" s="77"/>
      <c r="F30" s="77"/>
      <c r="G30" s="77"/>
      <c r="H30" s="77"/>
      <c r="I30" s="77"/>
    </row>
    <row r="31" spans="1:10" ht="14.25" customHeight="1">
      <c r="A31" s="78" t="s">
        <v>338</v>
      </c>
      <c r="B31" s="88"/>
      <c r="C31" s="95"/>
      <c r="D31" s="78" t="s">
        <v>351</v>
      </c>
      <c r="E31" s="88"/>
      <c r="F31" s="95"/>
      <c r="G31" s="78" t="s">
        <v>366</v>
      </c>
      <c r="H31" s="88"/>
      <c r="I31" s="95"/>
      <c r="J31" s="63"/>
    </row>
    <row r="32" spans="1:10" ht="14.25" customHeight="1">
      <c r="A32" s="79"/>
      <c r="B32" s="89"/>
      <c r="C32" s="96"/>
      <c r="D32" s="79"/>
      <c r="E32" s="89"/>
      <c r="F32" s="96"/>
      <c r="G32" s="79"/>
      <c r="H32" s="89"/>
      <c r="I32" s="96"/>
      <c r="J32" s="63"/>
    </row>
    <row r="33" spans="1:10" ht="14.25" customHeight="1">
      <c r="A33" s="79"/>
      <c r="B33" s="89"/>
      <c r="C33" s="96"/>
      <c r="D33" s="79"/>
      <c r="E33" s="89"/>
      <c r="F33" s="96"/>
      <c r="G33" s="79"/>
      <c r="H33" s="89"/>
      <c r="I33" s="96"/>
      <c r="J33" s="63"/>
    </row>
    <row r="34" spans="1:10" ht="14.25" customHeight="1">
      <c r="A34" s="79"/>
      <c r="B34" s="89"/>
      <c r="C34" s="96"/>
      <c r="D34" s="79"/>
      <c r="E34" s="89"/>
      <c r="F34" s="96"/>
      <c r="G34" s="79"/>
      <c r="H34" s="89"/>
      <c r="I34" s="96"/>
      <c r="J34" s="63"/>
    </row>
    <row r="35" spans="1:10" ht="14.25" customHeight="1">
      <c r="A35" s="80" t="s">
        <v>339</v>
      </c>
      <c r="B35" s="90"/>
      <c r="C35" s="97"/>
      <c r="D35" s="80" t="s">
        <v>339</v>
      </c>
      <c r="E35" s="90"/>
      <c r="F35" s="97"/>
      <c r="G35" s="80" t="s">
        <v>339</v>
      </c>
      <c r="H35" s="90"/>
      <c r="I35" s="97"/>
      <c r="J35" s="63"/>
    </row>
    <row r="36" spans="1:9" ht="11.25" customHeight="1">
      <c r="A36" s="81" t="s">
        <v>62</v>
      </c>
      <c r="B36" s="91"/>
      <c r="C36" s="91"/>
      <c r="D36" s="91"/>
      <c r="E36" s="91"/>
      <c r="F36" s="91"/>
      <c r="G36" s="91"/>
      <c r="H36" s="91"/>
      <c r="I36" s="91"/>
    </row>
    <row r="37" spans="1:9" ht="12.75">
      <c r="A37" s="16" t="s">
        <v>63</v>
      </c>
      <c r="B37" s="19"/>
      <c r="C37" s="19"/>
      <c r="D37" s="19"/>
      <c r="E37" s="19"/>
      <c r="F37" s="19"/>
      <c r="G37" s="19"/>
      <c r="H37" s="19"/>
      <c r="I37" s="19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