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210" windowWidth="9405" windowHeight="4605" activeTab="0"/>
  </bookViews>
  <sheets>
    <sheet name="příjmy 2020" sheetId="1" r:id="rId1"/>
    <sheet name="výdaje 2020" sheetId="2" r:id="rId2"/>
    <sheet name="financování 2020" sheetId="3" r:id="rId3"/>
  </sheets>
  <definedNames/>
  <calcPr fullCalcOnLoad="1"/>
</workbook>
</file>

<file path=xl/comments1.xml><?xml version="1.0" encoding="utf-8"?>
<comments xmlns="http://schemas.openxmlformats.org/spreadsheetml/2006/main">
  <authors>
    <author>Lenka Bulířová</author>
    <author>hfoved</author>
  </authors>
  <commentList>
    <comment ref="K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K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F81" authorId="0">
      <text>
        <r>
          <rPr>
            <b/>
            <sz val="11"/>
            <rFont val="Tahoma"/>
            <family val="2"/>
          </rPr>
          <t xml:space="preserve">hfoved:
</t>
        </r>
        <r>
          <rPr>
            <sz val="11"/>
            <rFont val="Tahoma"/>
            <family val="2"/>
          </rPr>
          <t>+ UZ 17969</t>
        </r>
      </text>
    </comment>
    <comment ref="F74" authorId="0">
      <text>
        <r>
          <rPr>
            <b/>
            <sz val="11"/>
            <rFont val="Tahoma"/>
            <family val="2"/>
          </rPr>
          <t xml:space="preserve">hfoved:
</t>
        </r>
        <r>
          <rPr>
            <sz val="11"/>
            <rFont val="Tahoma"/>
            <family val="2"/>
          </rPr>
          <t>+ UZ 17969</t>
        </r>
        <r>
          <rPr>
            <sz val="8"/>
            <rFont val="Tahoma"/>
            <family val="0"/>
          </rPr>
          <t xml:space="preserve">
</t>
        </r>
      </text>
    </comment>
    <comment ref="K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K9" authorId="1">
      <text>
        <r>
          <rPr>
            <b/>
            <sz val="9"/>
            <rFont val="Tahoma"/>
            <family val="0"/>
          </rPr>
          <t>hfoved:</t>
        </r>
        <r>
          <rPr>
            <sz val="9"/>
            <rFont val="Tahoma"/>
            <family val="0"/>
          </rPr>
          <t xml:space="preserve">
V roce 2018 byl skutečný příjem z RUD 83 mil. Kč v roce 2019 byl skutečný příjem z RUD 91 mil. Kč tzn. v návrhu rozpočtu je o 8 mil. nižší příjem z RUD než v roce 2019. Předpokládá rezerva je tak při očekávaném vyšším příjmu z RUD v roce 2020 cca 11 mil. Kč.</t>
        </r>
      </text>
    </comment>
    <comment ref="K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J9" authorId="1">
      <text>
        <r>
          <rPr>
            <b/>
            <sz val="9"/>
            <rFont val="Tahoma"/>
            <family val="0"/>
          </rPr>
          <t>hfoved:</t>
        </r>
        <r>
          <rPr>
            <sz val="9"/>
            <rFont val="Tahoma"/>
            <family val="0"/>
          </rPr>
          <t xml:space="preserve">
v roce 2018 byl skutečný příjem z RUD 83 mil. Kč v roce 2019 je předpoklad 90 mil. Kč tzn. v návrhu provizoria je o 4 mil. nižší než skutečný příjem v roce 2018 a o 11 mil. nižší než odhadovaný příjem v roce 2019</t>
        </r>
      </text>
    </comment>
    <comment ref="J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J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J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J81" authorId="1">
      <text>
        <r>
          <rPr>
            <b/>
            <sz val="9"/>
            <rFont val="Tahoma"/>
            <family val="0"/>
          </rPr>
          <t>hfoved:</t>
        </r>
        <r>
          <rPr>
            <sz val="9"/>
            <rFont val="Tahoma"/>
            <family val="0"/>
          </rPr>
          <t xml:space="preserve">
doplatek dotace cca 10 mil. Kč do celkové výše dotace cca 54 mil. Kč - dotace bude použita na částečné doplacení úvěru od České spořitelny, a.s.
Maximální výše dotace byla 58 562 021,52 Kč - jelikož některé výdaje se stali neuznatelnými dotace bude jen cca 54 mil. Kč.
</t>
        </r>
      </text>
    </comment>
    <comment ref="I85" authorId="1">
      <text>
        <r>
          <rPr>
            <b/>
            <sz val="9"/>
            <rFont val="Tahoma"/>
            <family val="0"/>
          </rPr>
          <t>hfoved:</t>
        </r>
        <r>
          <rPr>
            <sz val="9"/>
            <rFont val="Tahoma"/>
            <family val="0"/>
          </rPr>
          <t xml:space="preserve">
</t>
        </r>
        <r>
          <rPr>
            <sz val="9"/>
            <color indexed="10"/>
            <rFont val="Tahoma"/>
            <family val="2"/>
          </rPr>
          <t>dotace KÚLK ve výši 65 530,- Kč na nákup štěpkovače dle Smlouvy o poskytnutí účelové dotace z Dotačního fondu Libereckého kraje oblast podpory: 8. Životní prostředí a zemědělství, program č.: 8.5 Podpora předcházení vzniku odpadů, jejich opětovného použití a podpora sběru a využití bioodpadů č. OLP/2436/2019</t>
        </r>
      </text>
    </comment>
    <comment ref="I81" authorId="0">
      <text>
        <r>
          <rPr>
            <b/>
            <sz val="11"/>
            <rFont val="Tahoma"/>
            <family val="2"/>
          </rPr>
          <t xml:space="preserve">hfoved:
</t>
        </r>
        <r>
          <rPr>
            <sz val="11"/>
            <rFont val="Tahoma"/>
            <family val="2"/>
          </rPr>
          <t>příjem dotace od MMR projekt "Modernizace budovy Základní školy Chrastava" - předfinancováno z úvěru od České spořitelny, a.s.
    66 852,50 Kč
      3 932,50 Kč
9 595 888,99 Kč
   564 464,06 Kč
     48 733,81 Kč
       2 866,70 Kč</t>
        </r>
        <r>
          <rPr>
            <sz val="8"/>
            <rFont val="Tahoma"/>
            <family val="0"/>
          </rPr>
          <t xml:space="preserve">
</t>
        </r>
      </text>
    </comment>
    <comment ref="I78" authorId="1">
      <text>
        <r>
          <rPr>
            <b/>
            <sz val="9"/>
            <rFont val="Tahoma"/>
            <family val="0"/>
          </rPr>
          <t>hfoved:</t>
        </r>
        <r>
          <rPr>
            <sz val="9"/>
            <rFont val="Tahoma"/>
            <family val="0"/>
          </rPr>
          <t xml:space="preserve">
</t>
        </r>
        <r>
          <rPr>
            <sz val="9"/>
            <color indexed="10"/>
            <rFont val="Tahoma"/>
            <family val="2"/>
          </rPr>
          <t xml:space="preserve">Příjem dotace v oblasti prioritní osy 3 Rovný přístup ke kvalitnímu předškolnímu, primárnímu a sekundárnímu vzdělávání, Operačního programu Výzkum, vývoj a vzdělávání - výše 1. zálohy 1 030 541,- Kč </t>
        </r>
      </text>
    </comment>
    <comment ref="I77" authorId="0">
      <text>
        <r>
          <rPr>
            <b/>
            <sz val="11"/>
            <rFont val="Tahoma"/>
            <family val="2"/>
          </rPr>
          <t xml:space="preserve">hfoved:
</t>
        </r>
        <r>
          <rPr>
            <sz val="11"/>
            <rFont val="Tahoma"/>
            <family val="2"/>
          </rPr>
          <t xml:space="preserve">dotace 9 540,- Kč dle Smlouvy o poskytnutí účelové dotace z Lesnického fondu Libereckého kraje č. OLP/5240/2018.
</t>
        </r>
        <r>
          <rPr>
            <sz val="11"/>
            <rFont val="Tahoma"/>
            <family val="2"/>
          </rPr>
          <t xml:space="preserve">
dotace 2 800,- Kč dle Smlouvy o poskytnutí účelové dotace z Lesnického fondu Libereckého kraje č. OLP/277/2019.
dotace 16 561,- Kč dle Smlouvy o poskytnutí účelové dotace z Lesnického fondu Libereckého kraje č. OLP/310/2019.
</t>
        </r>
        <r>
          <rPr>
            <sz val="11"/>
            <color indexed="10"/>
            <rFont val="Tahoma"/>
            <family val="2"/>
          </rPr>
          <t>dotace 71 400,- Kč dle Smlouvy o poskytnutí účelové dotace na podporu ochrany přírody a krajiny Libereckého kraje č. OLP/4142/2018 - Alej mezi Dolním Vítkovem a Václavicemi.</t>
        </r>
        <r>
          <rPr>
            <sz val="8"/>
            <rFont val="Tahoma"/>
            <family val="0"/>
          </rPr>
          <t xml:space="preserve">
</t>
        </r>
      </text>
    </comment>
    <comment ref="I75" authorId="1">
      <text>
        <r>
          <rPr>
            <b/>
            <sz val="9"/>
            <rFont val="Tahoma"/>
            <family val="0"/>
          </rPr>
          <t>hfoved:</t>
        </r>
        <r>
          <rPr>
            <sz val="9"/>
            <rFont val="Tahoma"/>
            <family val="0"/>
          </rPr>
          <t xml:space="preserve">
</t>
        </r>
        <r>
          <rPr>
            <sz val="9"/>
            <color indexed="10"/>
            <rFont val="Tahoma"/>
            <family val="2"/>
          </rPr>
          <t>Dotace pro příspěvkovou organizaci Školní jídelna Chrastava ve výši 173 628,- Kč na projekt pod názvem: "Potravinová pomoc dětem v Libereckém kraji 5" dle smlouvy OLP/1797/2019.</t>
        </r>
      </text>
    </comment>
    <comment ref="I74" authorId="0">
      <text>
        <r>
          <rPr>
            <b/>
            <sz val="11"/>
            <rFont val="Tahoma"/>
            <family val="2"/>
          </rPr>
          <t xml:space="preserve">hfoved:
</t>
        </r>
        <r>
          <rPr>
            <sz val="11"/>
            <rFont val="Tahoma"/>
            <family val="2"/>
          </rPr>
          <t>příjem dotace od MMR projekt "Modernizace budovy Základní školy Chrastava" - předfinancováno z úvěru od České spořitelny, a.s.
6 171,- Kč
   363,- Kč</t>
        </r>
      </text>
    </comment>
    <comment ref="I67" authorId="1">
      <text>
        <r>
          <rPr>
            <b/>
            <sz val="9"/>
            <rFont val="Tahoma"/>
            <family val="0"/>
          </rPr>
          <t>hfoved:</t>
        </r>
        <r>
          <rPr>
            <sz val="9"/>
            <rFont val="Tahoma"/>
            <family val="0"/>
          </rPr>
          <t xml:space="preserve">
</t>
        </r>
        <r>
          <rPr>
            <sz val="9"/>
            <color indexed="10"/>
            <rFont val="Tahoma"/>
            <family val="2"/>
          </rPr>
          <t>dotace 24 745,- Kč přes KÚLK od MF dle rozhodnutí o poskytnutí dotace č.j.: MF-20757/2019/1201-16 na došetřování TEA stavebních objektů v rámci územní přípravy sčítání lidí bytů a domů 2021 ČSÚ</t>
        </r>
      </text>
    </comment>
    <comment ref="I53" authorId="1">
      <text>
        <r>
          <rPr>
            <b/>
            <sz val="9"/>
            <rFont val="Tahoma"/>
            <family val="0"/>
          </rPr>
          <t>hfoved:</t>
        </r>
        <r>
          <rPr>
            <sz val="9"/>
            <rFont val="Tahoma"/>
            <family val="0"/>
          </rPr>
          <t xml:space="preserve">
proplacení nákladů z roku 2017 - Smlouva o financování z Fondu mikroprojektů v Euroregionu Nisa realizovaného v rámci programu Interreg V-A Česká republika - Polsko 2014-2020, evideční číslo smlouvy P/2017/05/03
</t>
        </r>
        <r>
          <rPr>
            <sz val="9"/>
            <color indexed="10"/>
            <rFont val="Tahoma"/>
            <family val="2"/>
          </rPr>
          <t xml:space="preserve">2019/11/XIII
RM    v z a l a   n a   v ě d o m í
zápis č. 2019/5 z jednání bytové a sociální komise ze dne 1. 7. 2019 (příloha č. 13 k originálu usnesení)
2) RM z a m í t l a 
v souladu se stanoviskem bytové a sociální komise vrácení jistoty vítězného zájemce, neboť je toho názoru, že Město Chrastava při přípravě prodeje členského podílu k bytu č. 1 ve Školní ulici č. p. 125, Chrastava, neporušilo žádný právní předpis, a proto není možné v souladu s podmínkami pro prodej část podílu města Chrastavy v MBD Chrastava vč. souvisejících práv a povinností k volným bytům bez nájemního vztahu, jistotu vrátit ani zcela, ani z části (příloha č. 13a žádost o vrácení jistoty),(příloha č. 13b podmínky pro prodej části podílu města Chrastavy v Městském bytovém družstvu Chrastava)  </t>
        </r>
        <r>
          <rPr>
            <sz val="9"/>
            <rFont val="Tahoma"/>
            <family val="0"/>
          </rPr>
          <t xml:space="preserve">
</t>
        </r>
      </text>
    </comment>
    <comment ref="I51" authorId="1">
      <text>
        <r>
          <rPr>
            <b/>
            <sz val="9"/>
            <rFont val="Tahoma"/>
            <family val="0"/>
          </rPr>
          <t>hfoved:</t>
        </r>
        <r>
          <rPr>
            <sz val="9"/>
            <rFont val="Tahoma"/>
            <family val="0"/>
          </rPr>
          <t xml:space="preserve">
Česká pojišťovna uplatnění nároků JSDH, pracovní úraz, ztráta výdělku</t>
        </r>
      </text>
    </comment>
    <comment ref="I50" authorId="0">
      <text>
        <r>
          <rPr>
            <b/>
            <sz val="11"/>
            <rFont val="Tahoma"/>
            <family val="2"/>
          </rPr>
          <t>hfoved:</t>
        </r>
        <r>
          <rPr>
            <sz val="8"/>
            <rFont val="Tahoma"/>
            <family val="0"/>
          </rPr>
          <t xml:space="preserve">
</t>
        </r>
        <r>
          <rPr>
            <sz val="11"/>
            <rFont val="Tahoma"/>
            <family val="2"/>
          </rPr>
          <t>založen spořicí účet bez výpovědní lhůty s vyhlašovanou úrokovou sazbou - aktuálně 0,80 % p.a.</t>
        </r>
      </text>
    </comment>
    <comment ref="I45" authorId="1">
      <text>
        <r>
          <rPr>
            <b/>
            <sz val="9"/>
            <rFont val="Tahoma"/>
            <family val="0"/>
          </rPr>
          <t>hfoved:</t>
        </r>
        <r>
          <rPr>
            <sz val="9"/>
            <rFont val="Tahoma"/>
            <family val="0"/>
          </rPr>
          <t xml:space="preserve">
</t>
        </r>
        <r>
          <rPr>
            <sz val="9"/>
            <color indexed="10"/>
            <rFont val="Tahoma"/>
            <family val="2"/>
          </rPr>
          <t>odpa 2212 -</t>
        </r>
        <r>
          <rPr>
            <sz val="9"/>
            <rFont val="Tahoma"/>
            <family val="0"/>
          </rPr>
          <t xml:space="preserve"> </t>
        </r>
        <r>
          <rPr>
            <sz val="9"/>
            <color indexed="10"/>
            <rFont val="Tahoma"/>
            <family val="2"/>
          </rPr>
          <t>Náhrada škody od ARR - Agentura regionálního rozvoje, spol. s r.o. - Dohoda o uznání závazku k náhradě škody D/4/2019 vzniklé při výběrovém řízení na akci "RTN - Terminál Chrastava". První splátka 6 930,- Kč dalších 155 splátek je měsíčních po 5 000,- Kč, tzn. v roce 2019 26 930,- Kč.
odpa 2169 - stavební pokuty 3 fyzické osoby 5 500,- Kč a 1 právnícká osoba 40 000,- Kč vše za nepovolenou (neohlášenou) stavbu nebo rekonstrukci.
odpa 3639 - smluvní pokuta IBR Consulting s.r.o. ve výši 75 676,49,- Kč za nesprávnou kontrolu fakturace zhotovitele stavby projektu "Modernizace budovy Základní školy Chrastava".
odpa 3639 - smluvní pokuta V &amp; M spol. s r.o. ve výši 60 794,03 Kč za chybné zpracování jednotkového pošltu 1 položky stavby na projektu "Modernizace budovy Základní školy Chrastava".</t>
        </r>
      </text>
    </comment>
    <comment ref="I34" authorId="1">
      <text>
        <r>
          <rPr>
            <b/>
            <sz val="9"/>
            <rFont val="Tahoma"/>
            <family val="0"/>
          </rPr>
          <t>hfoved:</t>
        </r>
        <r>
          <rPr>
            <sz val="9"/>
            <rFont val="Tahoma"/>
            <family val="0"/>
          </rPr>
          <t xml:space="preserve">
</t>
        </r>
        <r>
          <rPr>
            <sz val="9"/>
            <color indexed="10"/>
            <rFont val="Tahoma"/>
            <family val="2"/>
          </rPr>
          <t>dar od Nadace ČEZ ve výši 138 000,- Kč dle Smlouvy o poskytnutí nadačního příspěvku č. STR 27_19 k úhradě nákladů spojených s pořízením a výsadbou zeleně na projekt "Alej Dolní Víktov - Václavice".</t>
        </r>
        <r>
          <rPr>
            <sz val="9"/>
            <rFont val="Tahoma"/>
            <family val="0"/>
          </rPr>
          <t xml:space="preserve">
</t>
        </r>
        <r>
          <rPr>
            <sz val="9"/>
            <color indexed="10"/>
            <rFont val="Tahoma"/>
            <family val="2"/>
          </rPr>
          <t xml:space="preserve">odpa 3769 - pokuta od ČIŽP - 1 fyzická osoba 2 000,- Kč - nepřiměřený ořez, 2 právnické osoby 26 500,- Kč - nepředložil inspekci protokol o jednorázovém měření emisí a nedodržoval emisní limity pro tuhé znečišťující látky. </t>
        </r>
        <r>
          <rPr>
            <sz val="9"/>
            <rFont val="Tahoma"/>
            <family val="0"/>
          </rPr>
          <t xml:space="preserve">
</t>
        </r>
      </text>
    </comment>
    <comment ref="I24" authorId="0">
      <text>
        <r>
          <rPr>
            <b/>
            <sz val="11"/>
            <rFont val="Tahoma"/>
            <family val="2"/>
          </rPr>
          <t>hfoved:</t>
        </r>
        <r>
          <rPr>
            <sz val="8"/>
            <rFont val="Tahoma"/>
            <family val="0"/>
          </rPr>
          <t xml:space="preserve">
</t>
        </r>
        <r>
          <rPr>
            <sz val="11"/>
            <rFont val="Tahoma"/>
            <family val="2"/>
          </rPr>
          <t xml:space="preserve">mimořádný odvod ze zlepšeného výsledku hospodaření za rok 2018 ZŠ Chrastava - v roce 2018 probíhala rekonstrukce jedné budovy, tudíž nebyly náklady na energie, opravy apod.
O odvodu dotace rozhodla RM Chrastava dne 11.03.2019 
2019/04/VII                                       
RM   r o z h o d l a
o vypořádání zlepšeného výsledku hospodaření zřízených PO za rok 2018 dle přílohy (příloha č. 7 k originálu usnesení)
</t>
        </r>
        <r>
          <rPr>
            <sz val="11"/>
            <color indexed="10"/>
            <rFont val="Tahoma"/>
            <family val="2"/>
          </rPr>
          <t>2 756 262,- Kč celkový odvod dotací PO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I10" authorId="0">
      <text>
        <r>
          <rPr>
            <b/>
            <sz val="11"/>
            <rFont val="Tahoma"/>
            <family val="2"/>
          </rPr>
          <t>hfoved:</t>
        </r>
        <r>
          <rPr>
            <sz val="8"/>
            <rFont val="Tahoma"/>
            <family val="0"/>
          </rPr>
          <t xml:space="preserve">
</t>
        </r>
        <r>
          <rPr>
            <sz val="11"/>
            <rFont val="Tahoma"/>
            <family val="2"/>
          </rPr>
          <t>daň z příjmů právnických osob za rok 2018 vypočtená a odvedená městu
příjem řádek 7
výdaj řádek 37</t>
        </r>
      </text>
    </comment>
    <comment ref="I9" authorId="1">
      <text>
        <r>
          <rPr>
            <b/>
            <sz val="9"/>
            <rFont val="Tahoma"/>
            <family val="0"/>
          </rPr>
          <t>hfoved:</t>
        </r>
        <r>
          <rPr>
            <sz val="9"/>
            <rFont val="Tahoma"/>
            <family val="0"/>
          </rPr>
          <t xml:space="preserve">
v roce 2018 byl skutečný příjem z RUD 83 mil. Kč tzn. o 7 mil. vyšší než je plánováno v roce letošním</t>
        </r>
      </text>
    </comment>
    <comment ref="K17" authorId="1">
      <text>
        <r>
          <rPr>
            <b/>
            <sz val="9"/>
            <rFont val="Tahoma"/>
            <family val="0"/>
          </rPr>
          <t xml:space="preserve">hfoved:
</t>
        </r>
        <r>
          <rPr>
            <sz val="9"/>
            <rFont val="Tahoma"/>
            <family val="2"/>
          </rPr>
          <t>V roce 2019 byl příjem z hazardu 3,5 mil. Kč. V návrhu rozpočtu je tak o 0,5 mil. Kč nižší příjem než byl skutečný příjem v předchozím roce.</t>
        </r>
      </text>
    </comment>
    <comment ref="K42" authorId="1">
      <text>
        <r>
          <rPr>
            <b/>
            <sz val="9"/>
            <rFont val="Tahoma"/>
            <family val="0"/>
          </rPr>
          <t>hfoved:</t>
        </r>
        <r>
          <rPr>
            <sz val="9"/>
            <rFont val="Tahoma"/>
            <family val="0"/>
          </rPr>
          <t xml:space="preserve">
v návrhu rozpočtu je příjem o 113 tis. Kč nižší než byl příjem předchozího roku.</t>
        </r>
      </text>
    </comment>
    <comment ref="K68" authorId="1">
      <text>
        <r>
          <rPr>
            <b/>
            <sz val="9"/>
            <rFont val="Tahoma"/>
            <family val="0"/>
          </rPr>
          <t>hfoved:</t>
        </r>
        <r>
          <rPr>
            <sz val="9"/>
            <rFont val="Tahoma"/>
            <family val="0"/>
          </rPr>
          <t xml:space="preserve">
5 527 600,- Kč</t>
        </r>
      </text>
    </comment>
  </commentList>
</comments>
</file>

<file path=xl/comments2.xml><?xml version="1.0" encoding="utf-8"?>
<comments xmlns="http://schemas.openxmlformats.org/spreadsheetml/2006/main">
  <authors>
    <author>hfoved</author>
  </authors>
  <commentList>
    <comment ref="J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J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J68" authorId="0">
      <text>
        <r>
          <rPr>
            <b/>
            <sz val="9"/>
            <rFont val="Tahoma"/>
            <family val="0"/>
          </rPr>
          <t>hfoved:</t>
        </r>
        <r>
          <rPr>
            <sz val="9"/>
            <rFont val="Tahoma"/>
            <family val="0"/>
          </rPr>
          <t xml:space="preserve">
Vítkov, Andělská hora, lokální opravy</t>
        </r>
      </text>
    </comment>
    <comment ref="J43" authorId="0">
      <text>
        <r>
          <rPr>
            <b/>
            <sz val="9"/>
            <rFont val="Tahoma"/>
            <family val="0"/>
          </rPr>
          <t>hfoved:</t>
        </r>
        <r>
          <rPr>
            <sz val="9"/>
            <rFont val="Tahoma"/>
            <family val="0"/>
          </rPr>
          <t xml:space="preserve">
32 657,24 vratka nevyčerpané dotace na volby do Evropského parlamentu</t>
        </r>
      </text>
    </comment>
    <comment ref="J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J61" authorId="0">
      <text>
        <r>
          <rPr>
            <b/>
            <sz val="9"/>
            <rFont val="Tahoma"/>
            <family val="0"/>
          </rPr>
          <t>hfoved:</t>
        </r>
        <r>
          <rPr>
            <sz val="9"/>
            <rFont val="Tahoma"/>
            <family val="0"/>
          </rPr>
          <t xml:space="preserve">
pořízení změny územního plánu a regulačního plánu</t>
        </r>
      </text>
    </comment>
    <comment ref="I42" authorId="0">
      <text>
        <r>
          <rPr>
            <b/>
            <sz val="9"/>
            <rFont val="Tahoma"/>
            <family val="0"/>
          </rPr>
          <t>hfoved:</t>
        </r>
        <r>
          <rPr>
            <sz val="9"/>
            <rFont val="Tahoma"/>
            <family val="0"/>
          </rPr>
          <t xml:space="preserve">
úrok 37 083,42 Kč ze starých úvěrů + cca 309 tis. Kč úrok z úvěrů na projekt "Rekonstrukce ZŠ Školní"
</t>
        </r>
      </text>
    </comment>
    <comment ref="I43" authorId="0">
      <text>
        <r>
          <rPr>
            <b/>
            <sz val="9"/>
            <rFont val="Tahoma"/>
            <family val="0"/>
          </rPr>
          <t>hfoved:</t>
        </r>
        <r>
          <rPr>
            <sz val="9"/>
            <rFont val="Tahoma"/>
            <family val="0"/>
          </rPr>
          <t xml:space="preserve">
32 657,24 vratka nevyčerpané dotace na volby do Evropského parlamentu</t>
        </r>
      </text>
    </comment>
    <comment ref="I44" authorId="0">
      <text>
        <r>
          <rPr>
            <b/>
            <sz val="9"/>
            <rFont val="Tahoma"/>
            <family val="0"/>
          </rPr>
          <t>hfoved:</t>
        </r>
        <r>
          <rPr>
            <sz val="9"/>
            <rFont val="Tahoma"/>
            <family val="0"/>
          </rPr>
          <t xml:space="preserve">
Euroregion Nisa cca 32 tis. Kč + Mikroregion Hrádecko-Chrastavsko cca 58 tis. Kč + Svaz místních samospráv cca 15 tis. Kč + Svaz měst a obcí cca 24 tis. Kč + DMO Lužické Hory 30 tis. Kč + MAS Podještědí 1 tis. Kč.</t>
        </r>
      </text>
    </comment>
    <comment ref="I61" authorId="0">
      <text>
        <r>
          <rPr>
            <b/>
            <sz val="9"/>
            <rFont val="Tahoma"/>
            <family val="0"/>
          </rPr>
          <t>hfoved:</t>
        </r>
        <r>
          <rPr>
            <sz val="9"/>
            <rFont val="Tahoma"/>
            <family val="0"/>
          </rPr>
          <t xml:space="preserve">
pořízení změny územního plánu a regulačního plánu</t>
        </r>
      </text>
    </comment>
    <comment ref="I68" authorId="0">
      <text>
        <r>
          <rPr>
            <b/>
            <sz val="9"/>
            <rFont val="Tahoma"/>
            <family val="0"/>
          </rPr>
          <t>hfoved:</t>
        </r>
        <r>
          <rPr>
            <sz val="9"/>
            <rFont val="Tahoma"/>
            <family val="0"/>
          </rPr>
          <t xml:space="preserve">
Vítkov, Andělská hora, lokální opravy</t>
        </r>
      </text>
    </comment>
    <comment ref="I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H75" authorId="0">
      <text>
        <r>
          <rPr>
            <b/>
            <sz val="9"/>
            <rFont val="Tahoma"/>
            <family val="0"/>
          </rPr>
          <t>hfoved:</t>
        </r>
        <r>
          <rPr>
            <sz val="9"/>
            <rFont val="Tahoma"/>
            <family val="0"/>
          </rPr>
          <t xml:space="preserve">
</t>
        </r>
        <r>
          <rPr>
            <sz val="9"/>
            <color indexed="10"/>
            <rFont val="Tahoma"/>
            <family val="2"/>
          </rPr>
          <t>pravomocné vítězství nad společností Amper market a.s.
50 tis. Kč rezerva na soudní spor s Energii Pro s.r.o.</t>
        </r>
      </text>
    </comment>
    <comment ref="G73" authorId="0">
      <text>
        <r>
          <rPr>
            <b/>
            <sz val="9"/>
            <rFont val="Tahoma"/>
            <family val="0"/>
          </rPr>
          <t>hfoved:</t>
        </r>
        <r>
          <rPr>
            <sz val="9"/>
            <rFont val="Tahoma"/>
            <family val="0"/>
          </rPr>
          <t xml:space="preserve">
- navýšení počtu zaměstnanců o bývalé zaměstnance Technických služeb, a.s. (již nestačila rezerva z minulých let).
- nově 600,- Kč na osobu na zdravotní prevenci a rehabilitace</t>
        </r>
      </text>
    </comment>
    <comment ref="H71" authorId="0">
      <text>
        <r>
          <rPr>
            <b/>
            <sz val="9"/>
            <rFont val="Tahoma"/>
            <family val="0"/>
          </rPr>
          <t>hfoved:</t>
        </r>
        <r>
          <rPr>
            <sz val="9"/>
            <rFont val="Tahoma"/>
            <family val="0"/>
          </rPr>
          <t xml:space="preserve">
</t>
        </r>
        <r>
          <rPr>
            <sz val="9"/>
            <color indexed="10"/>
            <rFont val="Tahoma"/>
            <family val="2"/>
          </rPr>
          <t>přirozené uvolnění bytů převážně v DPS. Nové obyvatele musí schválit sociální a bytová komise u obyvatel DPS i s doporučením Magistrátu města Liberec</t>
        </r>
      </text>
    </comment>
    <comment ref="H65" authorId="0">
      <text>
        <r>
          <rPr>
            <b/>
            <sz val="9"/>
            <rFont val="Tahoma"/>
            <family val="0"/>
          </rPr>
          <t>hfoved:</t>
        </r>
        <r>
          <rPr>
            <sz val="9"/>
            <rFont val="Tahoma"/>
            <family val="0"/>
          </rPr>
          <t xml:space="preserve">
</t>
        </r>
        <r>
          <rPr>
            <sz val="9"/>
            <color indexed="10"/>
            <rFont val="Tahoma"/>
            <family val="2"/>
          </rPr>
          <t>převod do běžných výdajů fondu kotelen - dokončení opravy CZT (centrální zásobování teplem) - převedeno z ř. 54 IP - dokončení rekonstrukce CZT (centrální zásobování teplem)</t>
        </r>
      </text>
    </comment>
    <comment ref="H64" authorId="0">
      <text>
        <r>
          <rPr>
            <b/>
            <sz val="9"/>
            <rFont val="Tahoma"/>
            <family val="0"/>
          </rPr>
          <t>hfoved:</t>
        </r>
        <r>
          <rPr>
            <sz val="9"/>
            <rFont val="Tahoma"/>
            <family val="0"/>
          </rPr>
          <t xml:space="preserve">
</t>
        </r>
        <r>
          <rPr>
            <sz val="9"/>
            <color indexed="10"/>
            <rFont val="Tahoma"/>
            <family val="2"/>
          </rPr>
          <t>z fondu oprav obecních bytů bude placeno vybudování zimní zahrady včetně oplechování na budově DPS Bílokostelecká 66 - převod do investičního plánu ř. 86</t>
        </r>
      </text>
    </comment>
    <comment ref="G53" authorId="0">
      <text>
        <r>
          <rPr>
            <b/>
            <sz val="9"/>
            <rFont val="Tahoma"/>
            <family val="0"/>
          </rPr>
          <t>hfoved:</t>
        </r>
        <r>
          <rPr>
            <sz val="9"/>
            <rFont val="Tahoma"/>
            <family val="0"/>
          </rPr>
          <t xml:space="preserve">
žádost o dar 50 tis. Kč Oblastní charita Liberec - Domov pokojného stáři</t>
        </r>
      </text>
    </comment>
    <comment ref="G44" authorId="0">
      <text>
        <r>
          <rPr>
            <b/>
            <sz val="9"/>
            <rFont val="Tahoma"/>
            <family val="0"/>
          </rPr>
          <t>hfoved:</t>
        </r>
        <r>
          <rPr>
            <sz val="9"/>
            <rFont val="Tahoma"/>
            <family val="0"/>
          </rPr>
          <t xml:space="preserve">
Euroregion Nisa cca 31 tis. Kč + Mikroregion Hrádecko-Chrastavsko cca 57 tis. Kč + Svaz místních samospráv cca 15 tis. Kč + Svaz měst a obcí cca 17 tis. Kč.</t>
        </r>
      </text>
    </comment>
    <comment ref="G43" authorId="0">
      <text>
        <r>
          <rPr>
            <b/>
            <sz val="9"/>
            <rFont val="Tahoma"/>
            <family val="0"/>
          </rPr>
          <t>hfoved:</t>
        </r>
        <r>
          <rPr>
            <sz val="9"/>
            <rFont val="Tahoma"/>
            <family val="0"/>
          </rPr>
          <t xml:space="preserve">
24 145,50 Kč vratka dotace na volby do zastupitelstev obcí
26 263,20 Kč vratka dotace na volby prezidenta ČR</t>
        </r>
      </text>
    </comment>
    <comment ref="H42" authorId="0">
      <text>
        <r>
          <rPr>
            <b/>
            <sz val="9"/>
            <rFont val="Tahoma"/>
            <family val="0"/>
          </rPr>
          <t>hfoved:</t>
        </r>
        <r>
          <rPr>
            <sz val="9"/>
            <rFont val="Tahoma"/>
            <family val="0"/>
          </rPr>
          <t xml:space="preserve">
úrok 48 511,80 Kč ze starých úvěrů + cca 100 tis. Kč úrok z úvěrů na projekt "Rekonstrukce ZŠ Školní"
</t>
        </r>
        <r>
          <rPr>
            <sz val="9"/>
            <color indexed="10"/>
            <rFont val="Tahoma"/>
            <family val="2"/>
          </rPr>
          <t>navýšení úroků z důvodu opožděných příjmů z dotace (proti odhadu)</t>
        </r>
      </text>
    </comment>
    <comment ref="G42" authorId="0">
      <text>
        <r>
          <rPr>
            <b/>
            <sz val="9"/>
            <rFont val="Tahoma"/>
            <family val="0"/>
          </rPr>
          <t>hfoved:</t>
        </r>
        <r>
          <rPr>
            <sz val="9"/>
            <rFont val="Tahoma"/>
            <family val="0"/>
          </rPr>
          <t xml:space="preserve">
úrok 48 511,80 Kč ze starých úvěrů + cca 100 tis. Kč úrok z úvěrů na projekt "Rekonstrukce ZŠ Školní"</t>
        </r>
      </text>
    </comment>
    <comment ref="G34"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3" authorId="0">
      <text>
        <r>
          <rPr>
            <b/>
            <sz val="9"/>
            <rFont val="Tahoma"/>
            <family val="0"/>
          </rPr>
          <t>hfoved:</t>
        </r>
        <r>
          <rPr>
            <sz val="9"/>
            <rFont val="Tahoma"/>
            <family val="0"/>
          </rPr>
          <t xml:space="preserve">
schválením ZM Chrastava na základě nařízení vlády č. 202/2018 došlo k navýšení odměn u neuvolněných členů ZM (tím je i vyšší zdravotní a sociální pojištění)</t>
        </r>
      </text>
    </comment>
    <comment ref="G31" authorId="0">
      <text>
        <r>
          <rPr>
            <b/>
            <sz val="9"/>
            <rFont val="Tahoma"/>
            <family val="0"/>
          </rPr>
          <t>hfoved:</t>
        </r>
        <r>
          <rPr>
            <sz val="9"/>
            <rFont val="Tahoma"/>
            <family val="0"/>
          </rPr>
          <t xml:space="preserve">
nařízením vlády č. 202/2018 došlo k navýšení odměn u uvolněných členů ZM (tím je i vyšší zdravotní a sociální pojištění). Navýšení je zhruba o 7 % (ST 65 806,- Kč, MST 57 909,- Kč)</t>
        </r>
      </text>
    </comment>
    <comment ref="H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r>
          <rPr>
            <sz val="9"/>
            <color indexed="10"/>
            <rFont val="Tahoma"/>
            <family val="2"/>
          </rPr>
          <t>financován nákup posilovacích strojů z běžného rozpočtu Osadního výboru Vítkov - převodem z řádku 20 běžných výdajů na řádek 27 Investičního plánu</t>
        </r>
      </text>
    </comment>
    <comment ref="G22" authorId="0">
      <text>
        <r>
          <rPr>
            <b/>
            <sz val="9"/>
            <rFont val="Tahoma"/>
            <family val="0"/>
          </rPr>
          <t>hfoved:</t>
        </r>
        <r>
          <rPr>
            <sz val="9"/>
            <rFont val="Tahoma"/>
            <family val="0"/>
          </rPr>
          <t xml:space="preserve">
76 000,- Kč převedeno z roku 2018 jako nevyčerpaný zůstatek běžných výdajů a 277 000,- Kč převedeno jako nevyčerpáný zůstatek investičního plánu hřiště Vítkov </t>
        </r>
      </text>
    </comment>
    <comment ref="H21" authorId="0">
      <text>
        <r>
          <rPr>
            <b/>
            <sz val="9"/>
            <rFont val="Tahoma"/>
            <family val="0"/>
          </rPr>
          <t>hfoved:</t>
        </r>
        <r>
          <rPr>
            <sz val="9"/>
            <rFont val="Tahoma"/>
            <family val="0"/>
          </rPr>
          <t xml:space="preserve">
11 000,- Kč převedeno z roku 2018 jako nevyčerpaný zůstatek běžných výdajů
</t>
        </r>
        <r>
          <rPr>
            <sz val="9"/>
            <color indexed="10"/>
            <rFont val="Tahoma"/>
            <family val="2"/>
          </rPr>
          <t>financován nákup posilovacích strojů z běžného rozpočtu Osadního výboru Andělská Hora - převodem z řádku 19 běžných výdajů na řádek 26 Investičního plánu</t>
        </r>
      </text>
    </comment>
    <comment ref="G21" authorId="0">
      <text>
        <r>
          <rPr>
            <b/>
            <sz val="9"/>
            <rFont val="Tahoma"/>
            <family val="0"/>
          </rPr>
          <t>hfoved:</t>
        </r>
        <r>
          <rPr>
            <sz val="9"/>
            <rFont val="Tahoma"/>
            <family val="0"/>
          </rPr>
          <t xml:space="preserve">
11 000,- Kč převedeno z roku 2018 jako nevyčerpaný zůstatek běžných výdajů</t>
        </r>
      </text>
    </comment>
    <comment ref="G19" authorId="0">
      <text>
        <r>
          <rPr>
            <b/>
            <sz val="9"/>
            <rFont val="Tahoma"/>
            <family val="0"/>
          </rPr>
          <t>hfoved:</t>
        </r>
        <r>
          <rPr>
            <sz val="9"/>
            <rFont val="Tahoma"/>
            <family val="0"/>
          </rPr>
          <t xml:space="preserve">
navýšení mzdových prostředků včetně zdravotního a sociálního pojištění</t>
        </r>
      </text>
    </comment>
    <comment ref="G18" authorId="0">
      <text>
        <r>
          <rPr>
            <b/>
            <sz val="9"/>
            <rFont val="Tahoma"/>
            <family val="0"/>
          </rPr>
          <t>hfoved:</t>
        </r>
        <r>
          <rPr>
            <sz val="9"/>
            <rFont val="Tahoma"/>
            <family val="0"/>
          </rPr>
          <t xml:space="preserve">
v roce 2018 zaplacena 1. záloha 70 000,- Kč a 2. záloha 84 000,- Kč. V roce 2019 další dvě roční období + nově 50 dalších stránek kníhy.</t>
        </r>
      </text>
    </comment>
    <comment ref="H11" authorId="0">
      <text>
        <r>
          <rPr>
            <b/>
            <sz val="9"/>
            <rFont val="Tahoma"/>
            <family val="0"/>
          </rPr>
          <t>hfoved:</t>
        </r>
        <r>
          <rPr>
            <sz val="9"/>
            <rFont val="Tahoma"/>
            <family val="0"/>
          </rPr>
          <t xml:space="preserve">
</t>
        </r>
        <r>
          <rPr>
            <sz val="9"/>
            <color indexed="10"/>
            <rFont val="Tahoma"/>
            <family val="2"/>
          </rPr>
          <t>převedeno z řádků 66 a 67 IP - Projekt "Modernizace budovy Základní školy Chrastava" - budova ve Školní ulici - pořízeno programové vybavení a vybavení učeben</t>
        </r>
      </text>
    </comment>
    <comment ref="H10" authorId="0">
      <text>
        <r>
          <rPr>
            <b/>
            <sz val="9"/>
            <rFont val="Tahoma"/>
            <family val="0"/>
          </rPr>
          <t>hfoved:</t>
        </r>
        <r>
          <rPr>
            <sz val="9"/>
            <rFont val="Tahoma"/>
            <family val="0"/>
          </rPr>
          <t xml:space="preserve">
</t>
        </r>
        <r>
          <rPr>
            <sz val="9"/>
            <color indexed="10"/>
            <rFont val="Tahoma"/>
            <family val="2"/>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Dotace pro příspěvkovou organizaci Školní jídelna Chrastava ve výši 173 628,- Kč na projekt pod názvem: "Potravinová pomoc dětem v Libereckém kraji 5" dle smlouvy OLP/1797/2019.</t>
        </r>
      </text>
    </comment>
    <comment ref="G10" authorId="0">
      <text>
        <r>
          <rPr>
            <b/>
            <sz val="9"/>
            <rFont val="Tahoma"/>
            <family val="0"/>
          </rPr>
          <t>hfoved:</t>
        </r>
        <r>
          <rPr>
            <sz val="9"/>
            <rFont val="Tahoma"/>
            <family val="0"/>
          </rPr>
          <t xml:space="preserve">
na žádost ŠJ 350 000,- Kč na výměnu prasklého kotle</t>
        </r>
      </text>
    </comment>
    <comment ref="H9" authorId="0">
      <text>
        <r>
          <rPr>
            <b/>
            <sz val="9"/>
            <rFont val="Tahoma"/>
            <family val="0"/>
          </rPr>
          <t>hfoved:</t>
        </r>
        <r>
          <rPr>
            <sz val="9"/>
            <rFont val="Tahoma"/>
            <family val="0"/>
          </rPr>
          <t xml:space="preserve">
</t>
        </r>
        <r>
          <rPr>
            <sz val="9"/>
            <rFont val="Tahoma"/>
            <family val="2"/>
          </rPr>
          <t xml:space="preserve">Příjem dotace v oblasti prioritní osy 3 Rovný přístup ke kvalitnímu předškolnímu, primárnímu a sekundárnímu vzdělávání, Operačního programu Výzkum, vývoj a vzdělávání - výše 1. zálohy 1 030 541,- Kč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do příspěvku pro PO MŠ Chrastava - ZŠ po dobu rekonstrukce využívala budovy MŠ</t>
        </r>
      </text>
    </comment>
    <comment ref="H8" authorId="0">
      <text>
        <r>
          <rPr>
            <b/>
            <sz val="9"/>
            <rFont val="Tahoma"/>
            <family val="0"/>
          </rPr>
          <t>hfoved:</t>
        </r>
        <r>
          <rPr>
            <sz val="9"/>
            <rFont val="Tahoma"/>
            <family val="0"/>
          </rPr>
          <t xml:space="preserve">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H7" authorId="0">
      <text>
        <r>
          <rPr>
            <b/>
            <sz val="9"/>
            <rFont val="Tahoma"/>
            <family val="0"/>
          </rPr>
          <t>hfoved:</t>
        </r>
        <r>
          <rPr>
            <sz val="9"/>
            <rFont val="Tahoma"/>
            <family val="0"/>
          </rPr>
          <t xml:space="preserve">
</t>
        </r>
        <r>
          <rPr>
            <sz val="9"/>
            <color indexed="10"/>
            <rFont val="Tahoma"/>
            <family val="2"/>
          </rPr>
          <t>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
- 76 tis. Kč převedeno z příspěvku PO ZŠ Chrastava - ZŠ po dobu rekonstrukce využívala budovy MŠ</t>
        </r>
        <r>
          <rPr>
            <sz val="9"/>
            <rFont val="Tahoma"/>
            <family val="0"/>
          </rPr>
          <t xml:space="preserve">
</t>
        </r>
      </text>
    </comment>
    <comment ref="J21" authorId="0">
      <text>
        <r>
          <rPr>
            <b/>
            <sz val="9"/>
            <rFont val="Tahoma"/>
            <family val="0"/>
          </rPr>
          <t>hfoved:</t>
        </r>
        <r>
          <rPr>
            <sz val="9"/>
            <rFont val="Tahoma"/>
            <family val="0"/>
          </rPr>
          <t xml:space="preserve">
27 000,- Kč převedeno z roku 2019 jako nevyčerpaný zůstatek běžných výdajů</t>
        </r>
      </text>
    </comment>
    <comment ref="J22" authorId="0">
      <text>
        <r>
          <rPr>
            <b/>
            <sz val="9"/>
            <rFont val="Tahoma"/>
            <family val="0"/>
          </rPr>
          <t>hfoved:</t>
        </r>
        <r>
          <rPr>
            <sz val="9"/>
            <rFont val="Tahoma"/>
            <family val="0"/>
          </rPr>
          <t xml:space="preserve">
824 000,- Kč převedeno z roku 2019 jako nevyčerpaný zůstatek běžných výdajů</t>
        </r>
      </text>
    </comment>
    <comment ref="J39"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t>
        </r>
      </text>
    </comment>
    <comment ref="J73" authorId="0">
      <text>
        <r>
          <rPr>
            <b/>
            <sz val="9"/>
            <rFont val="Tahoma"/>
            <family val="0"/>
          </rPr>
          <t>hfoved:</t>
        </r>
        <r>
          <rPr>
            <sz val="9"/>
            <rFont val="Tahoma"/>
            <family val="0"/>
          </rPr>
          <t xml:space="preserve">
</t>
        </r>
        <r>
          <rPr>
            <sz val="9"/>
            <color indexed="10"/>
            <rFont val="Tahoma"/>
            <family val="2"/>
          </rPr>
          <t>navýšení ceny stravenky z 80,- Kč na 90,- Kč (nárůst zaměstnanci + 2,- Kč, sociální fond + 2,- Kč, zaměstnavatel + 6,- Kč)
nárůst o 4 zaměstnance na HPP (3 x přechod z dohod o provedení práce)</t>
        </r>
      </text>
    </comment>
  </commentList>
</comments>
</file>

<file path=xl/comments3.xml><?xml version="1.0" encoding="utf-8"?>
<comments xmlns="http://schemas.openxmlformats.org/spreadsheetml/2006/main">
  <authors>
    <author>hfoved</author>
  </authors>
  <commentList>
    <comment ref="H9" authorId="0">
      <text>
        <r>
          <rPr>
            <b/>
            <sz val="9"/>
            <rFont val="Tahoma"/>
            <family val="0"/>
          </rPr>
          <t>hfoved:</t>
        </r>
        <r>
          <rPr>
            <sz val="9"/>
            <rFont val="Tahoma"/>
            <family val="0"/>
          </rPr>
          <t xml:space="preserve">
rezerva na možné vrácení dotace na bourané hasičské vozidlo 6,5 mil. Kč + 100 % penále
</t>
        </r>
        <r>
          <rPr>
            <sz val="9"/>
            <color indexed="10"/>
            <rFont val="Tahoma"/>
            <family val="2"/>
          </rPr>
          <t>zatím rezerva jen na částečnou vratku dotace protože udržitelnost projektu 5 let nebyla splněna jen o cca 2 měsíce</t>
        </r>
      </text>
    </comment>
    <comment ref="H14" authorId="0">
      <text>
        <r>
          <rPr>
            <b/>
            <sz val="9"/>
            <rFont val="Tahoma"/>
            <family val="0"/>
          </rPr>
          <t>hfoved:</t>
        </r>
        <r>
          <rPr>
            <sz val="9"/>
            <rFont val="Tahoma"/>
            <family val="0"/>
          </rPr>
          <t xml:space="preserve">
</t>
        </r>
        <r>
          <rPr>
            <sz val="9"/>
            <color indexed="10"/>
            <rFont val="Tahoma"/>
            <family val="2"/>
          </rPr>
          <t>4 žádosti</t>
        </r>
      </text>
    </comment>
    <comment ref="H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G9" authorId="0">
      <text>
        <r>
          <rPr>
            <b/>
            <sz val="9"/>
            <rFont val="Tahoma"/>
            <family val="0"/>
          </rPr>
          <t>hfoved:</t>
        </r>
        <r>
          <rPr>
            <sz val="9"/>
            <rFont val="Tahoma"/>
            <family val="0"/>
          </rPr>
          <t xml:space="preserve">
rezerva na možné vrácení dotace na bourané hasičské vozidlo 6,5 mil. Kč + 100 % penále</t>
        </r>
      </text>
    </comment>
    <comment ref="G14" authorId="0">
      <text>
        <r>
          <rPr>
            <b/>
            <sz val="9"/>
            <rFont val="Tahoma"/>
            <family val="0"/>
          </rPr>
          <t>hfoved:</t>
        </r>
        <r>
          <rPr>
            <sz val="9"/>
            <rFont val="Tahoma"/>
            <family val="0"/>
          </rPr>
          <t xml:space="preserve">
</t>
        </r>
        <r>
          <rPr>
            <sz val="9"/>
            <color indexed="10"/>
            <rFont val="Tahoma"/>
            <family val="2"/>
          </rPr>
          <t>4 žádosti</t>
        </r>
      </text>
    </comment>
    <comment ref="G22" authorId="0">
      <text>
        <r>
          <rPr>
            <b/>
            <sz val="9"/>
            <rFont val="Tahoma"/>
            <family val="0"/>
          </rPr>
          <t>hfoved:</t>
        </r>
        <r>
          <rPr>
            <sz val="9"/>
            <rFont val="Tahoma"/>
            <family val="0"/>
          </rPr>
          <t xml:space="preserve">
</t>
        </r>
        <r>
          <rPr>
            <sz val="9"/>
            <color indexed="10"/>
            <rFont val="Tahoma"/>
            <family val="2"/>
          </rPr>
          <t>doplatek úvěru na předfinancování dotace projekt "Rekonstrukce ZŠ Chrastava"
splatnost do 30.06.2020 částka 15 567 957,54 Kč</t>
        </r>
      </text>
    </comment>
    <comment ref="F23" authorId="0">
      <text>
        <r>
          <rPr>
            <b/>
            <sz val="9"/>
            <rFont val="Tahoma"/>
            <family val="0"/>
          </rPr>
          <t>hfoved:</t>
        </r>
        <r>
          <rPr>
            <sz val="9"/>
            <rFont val="Tahoma"/>
            <family val="0"/>
          </rPr>
          <t xml:space="preserve">
</t>
        </r>
        <r>
          <rPr>
            <sz val="9"/>
            <color indexed="10"/>
            <rFont val="Tahoma"/>
            <family val="2"/>
          </rPr>
          <t>převedeno do ř. 12 IP rekonstrukce a rozšíření veřejného osvětlení - na 1. část rekonstrukce VO v ulicích Vítkovská, Václavická.</t>
        </r>
      </text>
    </comment>
    <comment ref="F7" authorId="0">
      <text>
        <r>
          <rPr>
            <b/>
            <sz val="9"/>
            <rFont val="Tahoma"/>
            <family val="0"/>
          </rPr>
          <t>hfoved:</t>
        </r>
        <r>
          <rPr>
            <sz val="9"/>
            <rFont val="Tahoma"/>
            <family val="0"/>
          </rPr>
          <t xml:space="preserve">
zůstatek bankovních účtů města k 31.12.2018
cca 54 mil. Kč</t>
        </r>
      </text>
    </comment>
    <comment ref="F6" authorId="0">
      <text>
        <r>
          <rPr>
            <b/>
            <sz val="9"/>
            <rFont val="Tahoma"/>
            <family val="0"/>
          </rPr>
          <t>hfoved:</t>
        </r>
        <r>
          <rPr>
            <sz val="9"/>
            <rFont val="Tahoma"/>
            <family val="0"/>
          </rPr>
          <t xml:space="preserve">
zůstatek bankovních účtů města k 31.12.2018
cca 54 mil. Kč</t>
        </r>
      </text>
    </comment>
    <comment ref="H6" authorId="0">
      <text>
        <r>
          <rPr>
            <b/>
            <sz val="9"/>
            <rFont val="Tahoma"/>
            <family val="0"/>
          </rPr>
          <t>hfoved:</t>
        </r>
        <r>
          <rPr>
            <sz val="9"/>
            <rFont val="Tahoma"/>
            <family val="0"/>
          </rPr>
          <t xml:space="preserve">
zůstatek bankovních účtů města k 31.12.2019
cca 48 mil. Kč
rezerva je tak cca 3,7 mil. Kč</t>
        </r>
      </text>
    </comment>
    <comment ref="H7" authorId="0">
      <text>
        <r>
          <rPr>
            <b/>
            <sz val="9"/>
            <rFont val="Tahoma"/>
            <family val="0"/>
          </rPr>
          <t>hfoved:</t>
        </r>
        <r>
          <rPr>
            <sz val="9"/>
            <rFont val="Tahoma"/>
            <family val="0"/>
          </rPr>
          <t xml:space="preserve">
zůstatek bankovních účtů města k 31.12.2019
cca 48 mil. Kč</t>
        </r>
      </text>
    </comment>
  </commentList>
</comments>
</file>

<file path=xl/sharedStrings.xml><?xml version="1.0" encoding="utf-8"?>
<sst xmlns="http://schemas.openxmlformats.org/spreadsheetml/2006/main" count="295" uniqueCount="260">
  <si>
    <t>§</t>
  </si>
  <si>
    <t>pol.</t>
  </si>
  <si>
    <t>text</t>
  </si>
  <si>
    <t>DPH</t>
  </si>
  <si>
    <t>DP právnických osob</t>
  </si>
  <si>
    <t>DP PO - obec</t>
  </si>
  <si>
    <t>místní poplatek z odpadů</t>
  </si>
  <si>
    <t>poplatky ze psů</t>
  </si>
  <si>
    <t>poplatky za užívání veř. prostranství</t>
  </si>
  <si>
    <t>poplatek ze vstupného</t>
  </si>
  <si>
    <t>daň z nemovitostí</t>
  </si>
  <si>
    <t>příjmy školství</t>
  </si>
  <si>
    <t>Chrastavské listy</t>
  </si>
  <si>
    <t>Společenský klub</t>
  </si>
  <si>
    <t>příjmy kultura a cestovní ruch</t>
  </si>
  <si>
    <t>hřbitov</t>
  </si>
  <si>
    <t xml:space="preserve">příjmy bydlení,kom. služby, ochr. živ. prostř. </t>
  </si>
  <si>
    <t>pokuty MP</t>
  </si>
  <si>
    <t>příjmy - sankční poplatky</t>
  </si>
  <si>
    <t>příjmy ostatní</t>
  </si>
  <si>
    <t>Nedaňové celkem</t>
  </si>
  <si>
    <t>kapitálové příjmy</t>
  </si>
  <si>
    <t>Běžné dotace celkem</t>
  </si>
  <si>
    <t>Kapitálové dotace celkem</t>
  </si>
  <si>
    <t xml:space="preserve">       přijaté dotace</t>
  </si>
  <si>
    <t>Běžné příjmy celkem</t>
  </si>
  <si>
    <t>Kapitálové příjmy celkem</t>
  </si>
  <si>
    <t>ř.</t>
  </si>
  <si>
    <t xml:space="preserve">Daňové celkem   </t>
  </si>
  <si>
    <t xml:space="preserve">běžné dotace </t>
  </si>
  <si>
    <t>kapitálové dotace</t>
  </si>
  <si>
    <t>daň z příjmů fyzických osob ze ZVČ</t>
  </si>
  <si>
    <t>daň z příjmů fyzických osob ze SVČ</t>
  </si>
  <si>
    <t xml:space="preserve">                daňové příjmy</t>
  </si>
  <si>
    <t xml:space="preserve">                                       nedaňové příjmy</t>
  </si>
  <si>
    <t xml:space="preserve">                                                                                    běžné příjmy</t>
  </si>
  <si>
    <t xml:space="preserve">                                                                               vlastní příjmy</t>
  </si>
  <si>
    <t>MŠ a ZŠ Vítkov</t>
  </si>
  <si>
    <t>Základní škola</t>
  </si>
  <si>
    <t xml:space="preserve">Školní jídelna </t>
  </si>
  <si>
    <t>31xx</t>
  </si>
  <si>
    <t>MŠ Revoluční</t>
  </si>
  <si>
    <t>výdaje školství</t>
  </si>
  <si>
    <t>výdaje kultura a cestovní ruch</t>
  </si>
  <si>
    <t>0601 zastupitelstvo - ostatní</t>
  </si>
  <si>
    <t>0605 pokladna, obědy</t>
  </si>
  <si>
    <t xml:space="preserve">výdaje správa </t>
  </si>
  <si>
    <t>integrovaný záchranný systém</t>
  </si>
  <si>
    <t>výdaje PO a IZS</t>
  </si>
  <si>
    <t>městská policie</t>
  </si>
  <si>
    <t>výdaje MP</t>
  </si>
  <si>
    <t>výdaje soc. dávky a soc. péče</t>
  </si>
  <si>
    <t>xxxx</t>
  </si>
  <si>
    <t>Běžné výdaje celkem</t>
  </si>
  <si>
    <t>Kapitálové výdaje celkem</t>
  </si>
  <si>
    <t xml:space="preserve">                                                         běžné výdaje</t>
  </si>
  <si>
    <t>příjmy</t>
  </si>
  <si>
    <t>výdaje</t>
  </si>
  <si>
    <t>financování</t>
  </si>
  <si>
    <t>výdaje bydlení, kom. služby</t>
  </si>
  <si>
    <t>daň z příjmu fyzických osob z kap. výnosů</t>
  </si>
  <si>
    <t>příjmy les</t>
  </si>
  <si>
    <t xml:space="preserve">Vlastní příjmy celkem   </t>
  </si>
  <si>
    <t xml:space="preserve">Dotace celkem  </t>
  </si>
  <si>
    <t xml:space="preserve">Příjmy celkem </t>
  </si>
  <si>
    <t>vypoř. minulých let</t>
  </si>
  <si>
    <t xml:space="preserve">Výdaje celkem </t>
  </si>
  <si>
    <t xml:space="preserve">Dopravní obslužnost </t>
  </si>
  <si>
    <t>výdaje dopravní obslužnost</t>
  </si>
  <si>
    <t xml:space="preserve">Financování celkem </t>
  </si>
  <si>
    <t>prostředky minulých let /změna stavu/</t>
  </si>
  <si>
    <t>52xx,53xx</t>
  </si>
  <si>
    <t>3xxx</t>
  </si>
  <si>
    <t>0603 zastupitelstvo - starosta, místostar.</t>
  </si>
  <si>
    <t>saldo</t>
  </si>
  <si>
    <t>5xxx</t>
  </si>
  <si>
    <t>sociální fond</t>
  </si>
  <si>
    <t>0601 výbory zastupitelstva + komise</t>
  </si>
  <si>
    <t>pronájmy kotelny + rozvody tepla</t>
  </si>
  <si>
    <t>ostatní pronájmy (pozemky, zařízení)</t>
  </si>
  <si>
    <t>veterinární péče</t>
  </si>
  <si>
    <t>výdaje na veterinární péči</t>
  </si>
  <si>
    <t>čtenářské poplatky</t>
  </si>
  <si>
    <t>fond skládky</t>
  </si>
  <si>
    <t>rozvoj sportu,kultury,zájmová činnost</t>
  </si>
  <si>
    <t xml:space="preserve">škola /nájem - byty/ </t>
  </si>
  <si>
    <t>DPS - služby</t>
  </si>
  <si>
    <t xml:space="preserve">            kapitálové výdaje</t>
  </si>
  <si>
    <t>poplatek z ubytovací kapacity</t>
  </si>
  <si>
    <t>znečištění ovzd., odvod za odnětí půdy</t>
  </si>
  <si>
    <t>- 3 -</t>
  </si>
  <si>
    <t xml:space="preserve">výnosy ORM </t>
  </si>
  <si>
    <t>0329 neobsazené byty</t>
  </si>
  <si>
    <t>podpora sportovní a kulturní činnosti</t>
  </si>
  <si>
    <t>přijaté úroky</t>
  </si>
  <si>
    <t>Partnerská města</t>
  </si>
  <si>
    <t>osadní výbor Andělská Hora</t>
  </si>
  <si>
    <t>osadní výbor Vítkov</t>
  </si>
  <si>
    <t xml:space="preserve">- 2 -   </t>
  </si>
  <si>
    <t>prodej pozemků</t>
  </si>
  <si>
    <t>ostatní činnost v kultuře</t>
  </si>
  <si>
    <t>fond rezerv - spoluúčast dotačních titulů</t>
  </si>
  <si>
    <t xml:space="preserve">fond rezerv - jiné účely </t>
  </si>
  <si>
    <t>1332,34,35</t>
  </si>
  <si>
    <t>prostředky minulých let správa nemovitostí MBD</t>
  </si>
  <si>
    <t>tříděný odpad Ecokom + skládka</t>
  </si>
  <si>
    <t>investiční úvěr VB - investiční úvěr RTN - splátka</t>
  </si>
  <si>
    <t>těžební činnost - les</t>
  </si>
  <si>
    <t>viz rozpis investiční plán</t>
  </si>
  <si>
    <t xml:space="preserve">dotace na VPP úřad práce  </t>
  </si>
  <si>
    <t>povodně</t>
  </si>
  <si>
    <t>pojistné náhrady</t>
  </si>
  <si>
    <t>splátka úvěru VB CZ, a.s.- refinancování DPS</t>
  </si>
  <si>
    <t>0404 DPS, klub důchodců</t>
  </si>
  <si>
    <t>dary dle § 85 písm. b)</t>
  </si>
  <si>
    <t>správní poplatky</t>
  </si>
  <si>
    <t xml:space="preserve">Chrastavské slavnosti </t>
  </si>
  <si>
    <t>- 4 -</t>
  </si>
  <si>
    <t>krizové situace - rezerva</t>
  </si>
  <si>
    <t>0606 DPN, DPPO - obec, DPH</t>
  </si>
  <si>
    <t>odvod z loterií</t>
  </si>
  <si>
    <t>dary, dotace zájmovým spolkům na mimořádné akce</t>
  </si>
  <si>
    <t>fond velkých investičních akcí</t>
  </si>
  <si>
    <t>kontokorentní úvěr - auto hasiči</t>
  </si>
  <si>
    <t>kontokorentní úvěr - auto hasiči - splátka</t>
  </si>
  <si>
    <t>1111-1211</t>
  </si>
  <si>
    <t xml:space="preserve">investiční dary </t>
  </si>
  <si>
    <t>příspěvky na pořízení dlouhodob.majetku</t>
  </si>
  <si>
    <t xml:space="preserve">dotace sociální služby MPSV, KÚLK  </t>
  </si>
  <si>
    <t xml:space="preserve">prodej nemovitostí </t>
  </si>
  <si>
    <t>fond kotelen</t>
  </si>
  <si>
    <t>fond oprav obecních bytů</t>
  </si>
  <si>
    <t>0332 technická správa - opravy komunikací, chodníků</t>
  </si>
  <si>
    <t>sankce jiným rozpočtům</t>
  </si>
  <si>
    <t>chybí</t>
  </si>
  <si>
    <t>hasiči - muzeum /vstupné/,dary,plnění poj.</t>
  </si>
  <si>
    <t>ostatní příjmy, věcná břemena</t>
  </si>
  <si>
    <t xml:space="preserve">fond voda </t>
  </si>
  <si>
    <t>rozdíl saldo - financování</t>
  </si>
  <si>
    <t>UZ 90877</t>
  </si>
  <si>
    <t>dotace FS OPŽP - zateplení MŠ Luční</t>
  </si>
  <si>
    <t>dotace MŽP - ošetření stromu za muzeem</t>
  </si>
  <si>
    <t>6171, 6320</t>
  </si>
  <si>
    <t>0328 Bílokostelecká 50</t>
  </si>
  <si>
    <t>prodej drobného dlouhodobého majetku</t>
  </si>
  <si>
    <t>UZ 15832</t>
  </si>
  <si>
    <t>dotace MŽP - zametací vůz</t>
  </si>
  <si>
    <t>celkové náklady</t>
  </si>
  <si>
    <t>úvěr</t>
  </si>
  <si>
    <t>název projektu</t>
  </si>
  <si>
    <t>investiční úvěr ČS - sloučení všech úvěrů Sberbank</t>
  </si>
  <si>
    <t>technická správa</t>
  </si>
  <si>
    <t>0321 obřadní síň</t>
  </si>
  <si>
    <t>0322 Chrastavské slavnosti</t>
  </si>
  <si>
    <t>1) položky IP, které budou financovány z FVI - RUD,</t>
  </si>
  <si>
    <t>2310, 2133</t>
  </si>
  <si>
    <t>2119,2329,2132</t>
  </si>
  <si>
    <t>2341, 3639</t>
  </si>
  <si>
    <t>3722-9</t>
  </si>
  <si>
    <t>vstupné muzeum, prodeje</t>
  </si>
  <si>
    <t>správa - náklady řízení, ostatní služby</t>
  </si>
  <si>
    <t>dotace od obcí /přestupky, MP Stráž/</t>
  </si>
  <si>
    <t>Společenský klub(SK, kino, knihovny, muzeum)</t>
  </si>
  <si>
    <t>Spartak Chrastava</t>
  </si>
  <si>
    <t>5229, 5192</t>
  </si>
  <si>
    <t>3419+29,3322</t>
  </si>
  <si>
    <t>dotace KÚLK - Pedagogická asistence</t>
  </si>
  <si>
    <t>Ing. Michael Canov</t>
  </si>
  <si>
    <t xml:space="preserve">         starosta</t>
  </si>
  <si>
    <t>dotace KÚLK - Potravin. pomoc dětem v LK</t>
  </si>
  <si>
    <t>3313-15,92</t>
  </si>
  <si>
    <t>fond veřejného osvětlení</t>
  </si>
  <si>
    <t>veřejné osvětlení</t>
  </si>
  <si>
    <t>dotace KÚLK - PD most přes Lužickou Nisu</t>
  </si>
  <si>
    <t>příjmy z nájemného Bílokostelecká</t>
  </si>
  <si>
    <t>příjmy z nájemného Nádražní</t>
  </si>
  <si>
    <t>dotace státní správa + dotace opatrovnictví</t>
  </si>
  <si>
    <t>6310-20, 6171</t>
  </si>
  <si>
    <t>0604 správa + pojištění majetku, odpovědnosti</t>
  </si>
  <si>
    <t>grant 0323,3001</t>
  </si>
  <si>
    <t>2221, 2292</t>
  </si>
  <si>
    <t>1351, 1382</t>
  </si>
  <si>
    <t>UZ 33063</t>
  </si>
  <si>
    <t>dotace MŠMT - zvyšování kvality ve vzdělávání</t>
  </si>
  <si>
    <t>dotace MPO - optimalizace veřejného osvětlení</t>
  </si>
  <si>
    <t>odvod z VHP a jiných TZ, daň z hazardních her</t>
  </si>
  <si>
    <t>1355, 81, 83</t>
  </si>
  <si>
    <t>prodej družstev. podílů</t>
  </si>
  <si>
    <t>Fond mikroprojektů CZ-PL, CZ-D</t>
  </si>
  <si>
    <t>Granty MŽP, MZ - předfinancování</t>
  </si>
  <si>
    <t>příjem EEH - zásah do krajinného rázu</t>
  </si>
  <si>
    <t>osadní výbor Vítkov - příjem od EEH</t>
  </si>
  <si>
    <t>Chrastava - fotografická publikace</t>
  </si>
  <si>
    <t>dary a dotace pro ubytovatele seniorů</t>
  </si>
  <si>
    <t>rezerva na soudní spor s dodavateli elektrické energie</t>
  </si>
  <si>
    <t>hasiči Chrastava</t>
  </si>
  <si>
    <t>finanční vypořádání minulých let</t>
  </si>
  <si>
    <t>6402, 6409</t>
  </si>
  <si>
    <t>územní plánování</t>
  </si>
  <si>
    <t>čerpání úvěru ČS - rekonstrukce ZŠ - předfinancování dotace</t>
  </si>
  <si>
    <t>čerpání úvěru ČS - rekonstrukce ZŠ - na vlastní podíl</t>
  </si>
  <si>
    <t>dotace od obcí MP Stráž - nové služební auto</t>
  </si>
  <si>
    <t>UZ 13014</t>
  </si>
  <si>
    <t>dotace MMR - projekt "Rekonstrukce ZŠ Chrastava"</t>
  </si>
  <si>
    <t>UZ 17968</t>
  </si>
  <si>
    <t>0607, 0613 služební vozidla</t>
  </si>
  <si>
    <t>navýšení RUD 2019 proti 2012</t>
  </si>
  <si>
    <t>úroky z půjček</t>
  </si>
  <si>
    <t>4350,57,79</t>
  </si>
  <si>
    <t>3399,4357,79</t>
  </si>
  <si>
    <t>schválený rozpočet 2019</t>
  </si>
  <si>
    <t>volby do parlamentu EU</t>
  </si>
  <si>
    <t xml:space="preserve">neinv. dotace a transfery(ER,MR,SMO,SMS) 0615, 2106,0604 </t>
  </si>
  <si>
    <t>2310, 21, 99</t>
  </si>
  <si>
    <t>ČS - rekonstrukce ZŠ - splátka úvěru z přijaté dotace</t>
  </si>
  <si>
    <t>dary - Oblastní Charita, Hospic sv. Zdislavy, Linka bezpečí</t>
  </si>
  <si>
    <t>UZ 98348</t>
  </si>
  <si>
    <t>příjmy z odpisů PO + odvod ze zlepšeného HV</t>
  </si>
  <si>
    <t>Euroregion dotace Česko - polská Hřebenovka</t>
  </si>
  <si>
    <t>dotace na volbu prezidenta republiky, volby EU</t>
  </si>
  <si>
    <t>4. změna rozpočtu 2019</t>
  </si>
  <si>
    <t>3612, 3613</t>
  </si>
  <si>
    <r>
      <t xml:space="preserve">příjmy - domovní správa </t>
    </r>
    <r>
      <rPr>
        <sz val="10"/>
        <rFont val="Arial CE"/>
        <family val="0"/>
      </rPr>
      <t>+ zdravotní středisko</t>
    </r>
  </si>
  <si>
    <t>dotace KÚLK - hasiči, lesní hospodářství, alej</t>
  </si>
  <si>
    <t>0328 domovní správa + Nádražní 104 + zdravotní středisko</t>
  </si>
  <si>
    <t>UZ 98018</t>
  </si>
  <si>
    <t>dotace na došetřování TEA stavebních objektů</t>
  </si>
  <si>
    <t>3745, 3769</t>
  </si>
  <si>
    <t>dar Nadace ČEZ, ČIŽP pokuty</t>
  </si>
  <si>
    <t>ZŠ Chrastava - neinvestiční výdaje rekonstrukce ZŠ - IROP</t>
  </si>
  <si>
    <t>6171, 2212, 2619, 3639</t>
  </si>
  <si>
    <r>
      <t xml:space="preserve">správa - pokuty + </t>
    </r>
    <r>
      <rPr>
        <sz val="10"/>
        <rFont val="Arial CE"/>
        <family val="0"/>
      </rPr>
      <t>ostatní pokuty mimo MP</t>
    </r>
  </si>
  <si>
    <t>ČS - rekonstrukce ZŠ - splátka úvěru vlastní podíl</t>
  </si>
  <si>
    <t>fond fasáda</t>
  </si>
  <si>
    <t>dotace KÚLK - nákup štěpkovače</t>
  </si>
  <si>
    <t>3612, 6409</t>
  </si>
  <si>
    <t>ORM - § 1031, 3729, 3639, 3632, 2212, 3742, 2321</t>
  </si>
  <si>
    <t>2341, 3341, 3721, 3722, 3745, 3728, 3326, 3322, 3412</t>
  </si>
  <si>
    <t>Projekt "Kanalizace Vítkovská"</t>
  </si>
  <si>
    <t>vybudování výtahu v budově zdravotního střediska</t>
  </si>
  <si>
    <t>příprava projektů</t>
  </si>
  <si>
    <t xml:space="preserve">2) fond rezerv na krytí případné vratky dotace + sankce za porušení rozpočtové kázně (havarované hasičské vozidlo z dotace) naplněn z FVI - RUD </t>
  </si>
  <si>
    <t>provizorium 2020</t>
  </si>
  <si>
    <r>
      <t xml:space="preserve">fond kotelen (PS </t>
    </r>
    <r>
      <rPr>
        <sz val="10"/>
        <color indexed="10"/>
        <rFont val="Arial CE"/>
        <family val="0"/>
      </rPr>
      <t>2035</t>
    </r>
    <r>
      <rPr>
        <sz val="10"/>
        <rFont val="Arial CE"/>
        <family val="2"/>
      </rPr>
      <t>+1350-1000)</t>
    </r>
  </si>
  <si>
    <r>
      <t xml:space="preserve">fond oprav obecních bytů (PS </t>
    </r>
    <r>
      <rPr>
        <sz val="10"/>
        <color indexed="10"/>
        <rFont val="Arial CE"/>
        <family val="2"/>
      </rPr>
      <t>1301</t>
    </r>
    <r>
      <rPr>
        <sz val="10"/>
        <rFont val="Arial CE"/>
        <family val="2"/>
      </rPr>
      <t>+3000-2200)</t>
    </r>
  </si>
  <si>
    <r>
      <t xml:space="preserve">FVI - RUD (PS </t>
    </r>
    <r>
      <rPr>
        <sz val="10"/>
        <color indexed="10"/>
        <rFont val="Arial CE"/>
        <family val="0"/>
      </rPr>
      <t>6569+40000</t>
    </r>
    <r>
      <rPr>
        <sz val="10"/>
        <rFont val="Arial CE"/>
        <family val="0"/>
      </rPr>
      <t>-1260)</t>
    </r>
  </si>
  <si>
    <t>chodník Vítkovská</t>
  </si>
  <si>
    <t>komunikace pod Střeleckým Vrchem</t>
  </si>
  <si>
    <t>Akce - 10 let od povodní</t>
  </si>
  <si>
    <t>komunikace Na Hůrce, vč. dešťové kanalizace</t>
  </si>
  <si>
    <t>rekonstrukce ul. Bílokostelecká - I. etapa a II. etapa</t>
  </si>
  <si>
    <t>Projekt "Rekonstrukce ZŠ Revoluční" - PD</t>
  </si>
  <si>
    <t xml:space="preserve">2) splátky úvěrů, které budou financováný z FVI - RUD </t>
  </si>
  <si>
    <t>FVI - RUD</t>
  </si>
  <si>
    <t>ZM 10.02.2020</t>
  </si>
  <si>
    <t>Příjmy - schválený rozpočet 2020</t>
  </si>
  <si>
    <t>schválený rozpočet 2020</t>
  </si>
  <si>
    <t>Výdaje - schválený rozpočet 2020</t>
  </si>
  <si>
    <t>předkládá: HFO 11.02.2020</t>
  </si>
  <si>
    <t>Financování - schválený rozpočet 2020</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</si>
</sst>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00\ [$€-1]_-;\-* #,##0.00\ [$€-1]_-;_-* &quot;-&quot;??\ [$€-1]_-;_-@_-"/>
    <numFmt numFmtId="165" formatCode="_-* #,##0\ [$€-1]_-;\-* #,##0\ [$€-1]_-;_-* &quot;-&quot;\ [$€-1]_-;_-@_-"/>
  </numFmts>
  <fonts count="27">
    <font>
      <sz val="10"/>
      <name val="Arial CE"/>
      <family val="0"/>
    </font>
    <font>
      <b/>
      <sz val="10"/>
      <name val="Arial CE"/>
      <family val="2"/>
    </font>
    <font>
      <sz val="11"/>
      <name val="Arial CE"/>
      <family val="2"/>
    </font>
    <font>
      <b/>
      <sz val="12"/>
      <name val="Arial CE"/>
      <family val="2"/>
    </font>
    <font>
      <i/>
      <sz val="10"/>
      <color indexed="48"/>
      <name val="Arial CE"/>
      <family val="2"/>
    </font>
    <font>
      <sz val="10"/>
      <color indexed="48"/>
      <name val="Arial CE"/>
      <family val="2"/>
    </font>
    <font>
      <sz val="10"/>
      <color indexed="57"/>
      <name val="Arial CE"/>
      <family val="2"/>
    </font>
    <font>
      <i/>
      <sz val="10"/>
      <name val="Arial CE"/>
      <family val="2"/>
    </font>
    <font>
      <b/>
      <sz val="12"/>
      <color indexed="57"/>
      <name val="Arial CE"/>
      <family val="2"/>
    </font>
    <font>
      <sz val="8"/>
      <name val="Arial CE"/>
      <family val="2"/>
    </font>
    <font>
      <sz val="10"/>
      <color indexed="10"/>
      <name val="Arial CE"/>
      <family val="2"/>
    </font>
    <font>
      <sz val="9"/>
      <name val="Arial CE"/>
      <family val="2"/>
    </font>
    <font>
      <b/>
      <u val="single"/>
      <sz val="10"/>
      <color indexed="10"/>
      <name val="Arial CE"/>
      <family val="2"/>
    </font>
    <font>
      <u val="single"/>
      <sz val="10"/>
      <color indexed="10"/>
      <name val="Arial CE"/>
      <family val="2"/>
    </font>
    <font>
      <b/>
      <sz val="11"/>
      <name val="Arial CE"/>
      <family val="2"/>
    </font>
    <font>
      <b/>
      <sz val="10"/>
      <color indexed="10"/>
      <name val="Arial CE"/>
      <family val="2"/>
    </font>
    <font>
      <u val="single"/>
      <sz val="7.5"/>
      <color indexed="12"/>
      <name val="Arial CE"/>
      <family val="0"/>
    </font>
    <font>
      <u val="single"/>
      <sz val="7.5"/>
      <color indexed="36"/>
      <name val="Arial CE"/>
      <family val="0"/>
    </font>
    <font>
      <sz val="9"/>
      <name val="Tahoma"/>
      <family val="0"/>
    </font>
    <font>
      <b/>
      <sz val="9"/>
      <name val="Tahoma"/>
      <family val="0"/>
    </font>
    <font>
      <sz val="8"/>
      <name val="Tahoma"/>
      <family val="0"/>
    </font>
    <font>
      <b/>
      <sz val="11"/>
      <name val="Tahoma"/>
      <family val="2"/>
    </font>
    <font>
      <sz val="11"/>
      <name val="Tahoma"/>
      <family val="2"/>
    </font>
    <font>
      <sz val="9"/>
      <color indexed="10"/>
      <name val="Tahoma"/>
      <family val="2"/>
    </font>
    <font>
      <sz val="11"/>
      <color indexed="10"/>
      <name val="Tahoma"/>
      <family val="2"/>
    </font>
    <font>
      <b/>
      <sz val="11"/>
      <color indexed="10"/>
      <name val="Arial CE"/>
      <family val="2"/>
    </font>
    <font>
      <b/>
      <sz val="8"/>
      <name val="Arial CE"/>
      <family val="2"/>
    </font>
  </fonts>
  <fills count="7">
    <fill>
      <patternFill/>
    </fill>
    <fill>
      <patternFill patternType="gray125"/>
    </fill>
    <fill>
      <patternFill patternType="solid">
        <fgColor indexed="40"/>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s>
  <borders count="61">
    <border>
      <left/>
      <right/>
      <top/>
      <bottom/>
      <diagonal/>
    </border>
    <border>
      <left style="thin"/>
      <right style="thin"/>
      <top style="thin"/>
      <bottom style="thin"/>
    </border>
    <border>
      <left style="thin"/>
      <right style="thin"/>
      <top style="thin"/>
      <bottom>
        <color indexed="63"/>
      </bottom>
    </border>
    <border>
      <left style="thin"/>
      <right style="thin"/>
      <top style="medium"/>
      <bottom style="thin"/>
    </border>
    <border>
      <left style="thin"/>
      <right style="thin"/>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style="medium"/>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thin"/>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thin"/>
      <top>
        <color indexed="63"/>
      </top>
      <bottom style="thin"/>
    </border>
    <border>
      <left style="thin"/>
      <right style="medium"/>
      <top style="thin"/>
      <bottom>
        <color indexed="63"/>
      </bottom>
    </border>
    <border>
      <left>
        <color indexed="63"/>
      </left>
      <right style="medium"/>
      <top style="thin"/>
      <bottom style="thin"/>
    </border>
    <border>
      <left>
        <color indexed="63"/>
      </left>
      <right style="medium"/>
      <top style="thin"/>
      <bottom style="medium"/>
    </border>
    <border>
      <left style="medium"/>
      <right style="medium"/>
      <top style="thin"/>
      <bottom style="medium"/>
    </border>
    <border>
      <left style="medium"/>
      <right style="medium"/>
      <top>
        <color indexed="63"/>
      </top>
      <bottom style="medium"/>
    </border>
    <border>
      <left style="medium"/>
      <right style="medium"/>
      <top style="thin"/>
      <bottom style="thin"/>
    </border>
    <border>
      <left style="medium"/>
      <right style="thin"/>
      <top style="thin"/>
      <bottom>
        <color indexed="63"/>
      </bottom>
    </border>
    <border>
      <left style="thin"/>
      <right>
        <color indexed="63"/>
      </right>
      <top style="medium"/>
      <bottom style="medium"/>
    </border>
    <border>
      <left style="medium"/>
      <right style="thin"/>
      <top>
        <color indexed="63"/>
      </top>
      <bottom style="thin"/>
    </border>
    <border>
      <left>
        <color indexed="63"/>
      </left>
      <right style="medium"/>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medium"/>
      <right style="medium"/>
      <top style="medium"/>
      <bottom style="thin"/>
    </border>
    <border>
      <left style="thin"/>
      <right style="medium"/>
      <top>
        <color indexed="63"/>
      </top>
      <bottom style="thin"/>
    </border>
    <border>
      <left style="thin"/>
      <right style="thin"/>
      <top style="medium"/>
      <bottom>
        <color indexed="63"/>
      </bottom>
    </border>
    <border>
      <left style="medium"/>
      <right style="medium"/>
      <top style="thin"/>
      <bottom>
        <color indexed="63"/>
      </bottom>
    </border>
    <border>
      <left style="medium"/>
      <right style="medium"/>
      <top style="medium"/>
      <bottom style="medium"/>
    </border>
    <border>
      <left style="thin"/>
      <right>
        <color indexed="63"/>
      </right>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color indexed="63"/>
      </top>
      <bottom style="thin"/>
    </border>
    <border>
      <left style="medium"/>
      <right>
        <color indexed="63"/>
      </right>
      <top>
        <color indexed="63"/>
      </top>
      <bottom>
        <color indexed="63"/>
      </botto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medium"/>
    </border>
    <border>
      <left style="medium"/>
      <right style="medium"/>
      <top>
        <color indexed="63"/>
      </top>
      <bottom>
        <color indexed="63"/>
      </bottom>
    </border>
    <border>
      <left style="medium"/>
      <right>
        <color indexed="63"/>
      </right>
      <top style="thin"/>
      <bottom>
        <color indexed="63"/>
      </bottom>
    </border>
    <border>
      <left>
        <color indexed="63"/>
      </left>
      <right style="medium"/>
      <top style="medium"/>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cellStyleXfs>
  <cellXfs count="370">
    <xf numFmtId="0" fontId="0" fillId="0" borderId="0" xfId="0" applyAlignment="1">
      <alignment/>
    </xf>
    <xf numFmtId="0" fontId="0" fillId="0" borderId="0" xfId="0" applyAlignment="1">
      <alignment horizontal="center"/>
    </xf>
    <xf numFmtId="0" fontId="0" fillId="0" borderId="1" xfId="0" applyBorder="1" applyAlignment="1">
      <alignment/>
    </xf>
    <xf numFmtId="0" fontId="0" fillId="0" borderId="1" xfId="0" applyFont="1" applyBorder="1" applyAlignment="1">
      <alignment horizontal="center"/>
    </xf>
    <xf numFmtId="0" fontId="0" fillId="0" borderId="0" xfId="0" applyFont="1" applyAlignment="1">
      <alignment/>
    </xf>
    <xf numFmtId="0" fontId="0" fillId="0" borderId="1" xfId="0" applyBorder="1" applyAlignment="1">
      <alignment horizontal="center"/>
    </xf>
    <xf numFmtId="0" fontId="0" fillId="0" borderId="1"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4" xfId="0" applyFill="1" applyBorder="1" applyAlignment="1">
      <alignment horizontal="center"/>
    </xf>
    <xf numFmtId="0" fontId="0" fillId="0" borderId="0" xfId="0" applyFill="1" applyAlignment="1">
      <alignment/>
    </xf>
    <xf numFmtId="0" fontId="0" fillId="0" borderId="5"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Font="1" applyBorder="1" applyAlignment="1">
      <alignment/>
    </xf>
    <xf numFmtId="0" fontId="0" fillId="2" borderId="10" xfId="0" applyFont="1" applyFill="1" applyBorder="1" applyAlignment="1">
      <alignment/>
    </xf>
    <xf numFmtId="0" fontId="0" fillId="3" borderId="9" xfId="0" applyFont="1" applyFill="1" applyBorder="1" applyAlignment="1">
      <alignment/>
    </xf>
    <xf numFmtId="0" fontId="0" fillId="0" borderId="11" xfId="0" applyFont="1" applyBorder="1" applyAlignment="1">
      <alignment/>
    </xf>
    <xf numFmtId="0" fontId="1" fillId="0" borderId="0" xfId="0" applyFont="1" applyFill="1" applyAlignment="1">
      <alignment/>
    </xf>
    <xf numFmtId="0" fontId="0" fillId="0" borderId="0" xfId="0" applyFont="1" applyFill="1" applyAlignment="1">
      <alignment/>
    </xf>
    <xf numFmtId="0" fontId="0" fillId="0" borderId="0" xfId="0" applyFill="1" applyAlignment="1">
      <alignment horizontal="center"/>
    </xf>
    <xf numFmtId="0" fontId="3" fillId="0" borderId="0" xfId="0" applyFont="1" applyBorder="1" applyAlignment="1">
      <alignment horizontal="center"/>
    </xf>
    <xf numFmtId="0" fontId="7" fillId="0" borderId="1" xfId="0" applyFont="1" applyBorder="1" applyAlignment="1">
      <alignment horizontal="center"/>
    </xf>
    <xf numFmtId="0" fontId="0" fillId="0" borderId="9" xfId="0" applyFont="1" applyFill="1" applyBorder="1" applyAlignment="1">
      <alignment/>
    </xf>
    <xf numFmtId="0" fontId="0" fillId="0" borderId="9" xfId="0" applyFill="1" applyBorder="1" applyAlignment="1">
      <alignment/>
    </xf>
    <xf numFmtId="0" fontId="1" fillId="4" borderId="11" xfId="0" applyFont="1" applyFill="1" applyBorder="1" applyAlignment="1">
      <alignment/>
    </xf>
    <xf numFmtId="0" fontId="0" fillId="0" borderId="9" xfId="0" applyBorder="1" applyAlignment="1">
      <alignment/>
    </xf>
    <xf numFmtId="0" fontId="0" fillId="0" borderId="9" xfId="0" applyFont="1" applyFill="1" applyBorder="1" applyAlignment="1">
      <alignment vertical="center"/>
    </xf>
    <xf numFmtId="0" fontId="0" fillId="0" borderId="12" xfId="0" applyBorder="1" applyAlignment="1">
      <alignment horizontal="center"/>
    </xf>
    <xf numFmtId="0" fontId="0" fillId="0" borderId="4" xfId="0" applyBorder="1" applyAlignment="1">
      <alignment/>
    </xf>
    <xf numFmtId="0" fontId="1" fillId="0" borderId="13" xfId="0" applyFont="1" applyBorder="1" applyAlignment="1">
      <alignment/>
    </xf>
    <xf numFmtId="0" fontId="4" fillId="0" borderId="9" xfId="0" applyFont="1" applyFill="1" applyBorder="1" applyAlignment="1">
      <alignment/>
    </xf>
    <xf numFmtId="0" fontId="5" fillId="0" borderId="9" xfId="0" applyFont="1" applyFill="1" applyBorder="1" applyAlignment="1">
      <alignment/>
    </xf>
    <xf numFmtId="0" fontId="0" fillId="0" borderId="9" xfId="0" applyFont="1" applyFill="1" applyBorder="1" applyAlignment="1">
      <alignment/>
    </xf>
    <xf numFmtId="0" fontId="9" fillId="0" borderId="1" xfId="0" applyFont="1" applyBorder="1" applyAlignment="1">
      <alignment horizontal="center"/>
    </xf>
    <xf numFmtId="49" fontId="0" fillId="0" borderId="0" xfId="0" applyNumberFormat="1" applyAlignment="1">
      <alignment horizontal="right"/>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xf>
    <xf numFmtId="0" fontId="1" fillId="5" borderId="17" xfId="0" applyFont="1" applyFill="1" applyBorder="1" applyAlignment="1">
      <alignment/>
    </xf>
    <xf numFmtId="0" fontId="0" fillId="0" borderId="8"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1" fillId="2" borderId="13" xfId="0" applyFont="1" applyFill="1" applyBorder="1" applyAlignment="1">
      <alignment/>
    </xf>
    <xf numFmtId="49" fontId="0" fillId="0" borderId="0" xfId="0" applyNumberFormat="1" applyAlignment="1">
      <alignment horizont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xf>
    <xf numFmtId="0" fontId="11" fillId="0" borderId="1" xfId="0" applyFont="1" applyBorder="1" applyAlignment="1">
      <alignment horizontal="center"/>
    </xf>
    <xf numFmtId="0" fontId="6" fillId="0" borderId="13" xfId="0" applyFont="1" applyFill="1" applyBorder="1" applyAlignment="1">
      <alignment horizontal="center" wrapText="1"/>
    </xf>
    <xf numFmtId="14" fontId="0" fillId="0" borderId="0" xfId="0" applyNumberFormat="1" applyFill="1" applyAlignment="1">
      <alignment horizontal="left"/>
    </xf>
    <xf numFmtId="0" fontId="0" fillId="0" borderId="0" xfId="0" applyFont="1" applyFill="1" applyBorder="1" applyAlignment="1">
      <alignment horizontal="center"/>
    </xf>
    <xf numFmtId="0" fontId="5" fillId="0" borderId="18" xfId="0" applyFont="1" applyFill="1" applyBorder="1" applyAlignment="1">
      <alignment horizontal="right"/>
    </xf>
    <xf numFmtId="0" fontId="4" fillId="0" borderId="18" xfId="0" applyFont="1" applyFill="1" applyBorder="1" applyAlignment="1">
      <alignment horizontal="right"/>
    </xf>
    <xf numFmtId="0" fontId="0" fillId="0" borderId="18" xfId="0" applyFont="1" applyFill="1" applyBorder="1" applyAlignment="1">
      <alignment/>
    </xf>
    <xf numFmtId="0" fontId="0" fillId="0" borderId="18" xfId="0" applyFill="1" applyBorder="1" applyAlignment="1">
      <alignment/>
    </xf>
    <xf numFmtId="0" fontId="4" fillId="0" borderId="18" xfId="0" applyFont="1" applyFill="1" applyBorder="1" applyAlignment="1">
      <alignment/>
    </xf>
    <xf numFmtId="0" fontId="1" fillId="4" borderId="19" xfId="0" applyFont="1" applyFill="1" applyBorder="1" applyAlignment="1">
      <alignment/>
    </xf>
    <xf numFmtId="0" fontId="1" fillId="5" borderId="20" xfId="0" applyFont="1" applyFill="1" applyBorder="1" applyAlignment="1">
      <alignment/>
    </xf>
    <xf numFmtId="0" fontId="1" fillId="3" borderId="21" xfId="0" applyFont="1" applyFill="1" applyBorder="1" applyAlignment="1">
      <alignment/>
    </xf>
    <xf numFmtId="0" fontId="0" fillId="0" borderId="22" xfId="0" applyFont="1" applyBorder="1" applyAlignment="1">
      <alignment vertical="center"/>
    </xf>
    <xf numFmtId="0" fontId="0" fillId="0" borderId="0" xfId="0" applyAlignment="1">
      <alignment/>
    </xf>
    <xf numFmtId="0" fontId="0" fillId="0" borderId="0" xfId="0" applyAlignment="1">
      <alignment horizontal="left"/>
    </xf>
    <xf numFmtId="0" fontId="13" fillId="0" borderId="0" xfId="0" applyFont="1" applyAlignment="1">
      <alignment horizontal="left"/>
    </xf>
    <xf numFmtId="0" fontId="1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0" fillId="0" borderId="23" xfId="0" applyBorder="1" applyAlignment="1">
      <alignment horizontal="center"/>
    </xf>
    <xf numFmtId="0" fontId="0" fillId="0" borderId="2" xfId="0" applyBorder="1" applyAlignment="1">
      <alignment/>
    </xf>
    <xf numFmtId="0" fontId="15" fillId="0" borderId="0" xfId="0" applyFont="1" applyAlignment="1">
      <alignment horizontal="center"/>
    </xf>
    <xf numFmtId="0" fontId="0" fillId="0" borderId="24" xfId="0" applyBorder="1" applyAlignment="1">
      <alignment/>
    </xf>
    <xf numFmtId="0" fontId="0" fillId="0" borderId="24" xfId="0" applyFill="1" applyBorder="1" applyAlignment="1">
      <alignment/>
    </xf>
    <xf numFmtId="0" fontId="0" fillId="0" borderId="8" xfId="0" applyFont="1" applyBorder="1" applyAlignment="1">
      <alignment horizontal="center"/>
    </xf>
    <xf numFmtId="0" fontId="0" fillId="0" borderId="25" xfId="0" applyFont="1" applyBorder="1" applyAlignment="1">
      <alignment horizontal="center"/>
    </xf>
    <xf numFmtId="0" fontId="0" fillId="0" borderId="7" xfId="0" applyFont="1" applyBorder="1" applyAlignment="1">
      <alignment horizontal="center"/>
    </xf>
    <xf numFmtId="0" fontId="0" fillId="0" borderId="12" xfId="0" applyFont="1" applyBorder="1" applyAlignment="1">
      <alignment horizontal="center"/>
    </xf>
    <xf numFmtId="0" fontId="0" fillId="0" borderId="23" xfId="0" applyFont="1" applyBorder="1" applyAlignment="1">
      <alignment horizontal="center"/>
    </xf>
    <xf numFmtId="0" fontId="11" fillId="0" borderId="9" xfId="0" applyFont="1" applyBorder="1" applyAlignment="1">
      <alignment wrapText="1"/>
    </xf>
    <xf numFmtId="0" fontId="14" fillId="0" borderId="0" xfId="0" applyFont="1" applyAlignment="1">
      <alignment/>
    </xf>
    <xf numFmtId="0" fontId="2" fillId="0" borderId="0" xfId="0" applyFont="1" applyAlignment="1">
      <alignment horizontal="left"/>
    </xf>
    <xf numFmtId="0" fontId="12" fillId="0" borderId="0" xfId="0" applyFont="1" applyAlignment="1">
      <alignment/>
    </xf>
    <xf numFmtId="0" fontId="2" fillId="0" borderId="0" xfId="0" applyFont="1" applyAlignment="1">
      <alignment horizontal="left" wrapText="1"/>
    </xf>
    <xf numFmtId="0" fontId="4" fillId="0" borderId="26" xfId="0" applyFont="1" applyBorder="1" applyAlignment="1">
      <alignment/>
    </xf>
    <xf numFmtId="0" fontId="0" fillId="6" borderId="0" xfId="0" applyFont="1" applyFill="1" applyAlignment="1">
      <alignment/>
    </xf>
    <xf numFmtId="0" fontId="0" fillId="0" borderId="0" xfId="0" applyBorder="1" applyAlignment="1">
      <alignment/>
    </xf>
    <xf numFmtId="0" fontId="2" fillId="0" borderId="0" xfId="0" applyFont="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ill="1" applyAlignment="1">
      <alignment/>
    </xf>
    <xf numFmtId="0" fontId="0" fillId="0" borderId="0" xfId="0" applyFont="1" applyFill="1" applyBorder="1" applyAlignment="1">
      <alignment/>
    </xf>
    <xf numFmtId="0" fontId="15" fillId="0" borderId="18" xfId="0" applyFont="1" applyFill="1" applyBorder="1" applyAlignment="1">
      <alignment/>
    </xf>
    <xf numFmtId="0" fontId="15" fillId="0" borderId="9" xfId="0" applyFont="1" applyFill="1" applyBorder="1" applyAlignment="1">
      <alignment/>
    </xf>
    <xf numFmtId="0" fontId="15" fillId="0" borderId="9" xfId="0" applyFont="1" applyFill="1" applyBorder="1" applyAlignment="1">
      <alignment/>
    </xf>
    <xf numFmtId="0" fontId="0" fillId="0" borderId="9" xfId="0" applyFont="1" applyFill="1" applyBorder="1" applyAlignment="1">
      <alignment/>
    </xf>
    <xf numFmtId="0" fontId="0" fillId="0" borderId="18" xfId="0" applyFont="1" applyFill="1" applyBorder="1" applyAlignment="1">
      <alignment/>
    </xf>
    <xf numFmtId="0" fontId="0" fillId="0" borderId="9"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xf>
    <xf numFmtId="0" fontId="1" fillId="0" borderId="0" xfId="0" applyFont="1" applyAlignment="1">
      <alignment/>
    </xf>
    <xf numFmtId="0" fontId="0" fillId="0" borderId="0" xfId="0" applyBorder="1" applyAlignment="1">
      <alignment/>
    </xf>
    <xf numFmtId="0" fontId="2" fillId="0" borderId="0" xfId="0" applyFont="1" applyAlignment="1">
      <alignment horizontal="right"/>
    </xf>
    <xf numFmtId="0" fontId="0" fillId="0" borderId="9" xfId="0" applyFont="1" applyFill="1" applyBorder="1" applyAlignment="1">
      <alignment/>
    </xf>
    <xf numFmtId="0" fontId="0" fillId="0" borderId="9" xfId="0" applyFont="1" applyFill="1" applyBorder="1" applyAlignment="1">
      <alignment/>
    </xf>
    <xf numFmtId="0" fontId="0" fillId="0" borderId="9" xfId="0" applyFont="1" applyFill="1" applyBorder="1" applyAlignment="1">
      <alignment vertical="center"/>
    </xf>
    <xf numFmtId="0" fontId="0" fillId="0" borderId="26" xfId="0" applyFont="1" applyFill="1" applyBorder="1" applyAlignment="1">
      <alignment/>
    </xf>
    <xf numFmtId="0" fontId="2" fillId="0" borderId="27" xfId="0" applyFont="1" applyBorder="1" applyAlignment="1">
      <alignment/>
    </xf>
    <xf numFmtId="0" fontId="15" fillId="0" borderId="0" xfId="0" applyFont="1" applyAlignment="1">
      <alignment/>
    </xf>
    <xf numFmtId="0" fontId="11" fillId="0" borderId="1" xfId="0" applyFont="1" applyBorder="1" applyAlignment="1">
      <alignment horizontal="center"/>
    </xf>
    <xf numFmtId="0" fontId="0" fillId="0" borderId="18" xfId="0" applyFont="1" applyFill="1" applyBorder="1" applyAlignment="1">
      <alignment vertical="center"/>
    </xf>
    <xf numFmtId="0" fontId="0" fillId="0" borderId="28" xfId="0" applyFont="1" applyFill="1" applyBorder="1" applyAlignment="1">
      <alignment horizontal="right"/>
    </xf>
    <xf numFmtId="0" fontId="0" fillId="0" borderId="22" xfId="0" applyFont="1" applyFill="1" applyBorder="1" applyAlignment="1">
      <alignment/>
    </xf>
    <xf numFmtId="0" fontId="0" fillId="0" borderId="28" xfId="0" applyFont="1" applyFill="1" applyBorder="1" applyAlignment="1">
      <alignment/>
    </xf>
    <xf numFmtId="0" fontId="0" fillId="0" borderId="10" xfId="0" applyFont="1" applyFill="1" applyBorder="1" applyAlignment="1">
      <alignment/>
    </xf>
    <xf numFmtId="0" fontId="0" fillId="0" borderId="2" xfId="0" applyFont="1" applyBorder="1" applyAlignment="1">
      <alignment horizontal="center"/>
    </xf>
    <xf numFmtId="0" fontId="0" fillId="0" borderId="2" xfId="0" applyFont="1" applyBorder="1" applyAlignment="1">
      <alignment/>
    </xf>
    <xf numFmtId="0" fontId="0" fillId="0" borderId="9" xfId="0" applyFont="1" applyFill="1" applyBorder="1" applyAlignment="1">
      <alignment vertical="center"/>
    </xf>
    <xf numFmtId="0" fontId="0" fillId="0" borderId="18" xfId="0" applyFont="1" applyFill="1" applyBorder="1" applyAlignment="1">
      <alignment horizontal="right"/>
    </xf>
    <xf numFmtId="0" fontId="0" fillId="0" borderId="0" xfId="0" applyFont="1" applyFill="1" applyBorder="1" applyAlignment="1">
      <alignment/>
    </xf>
    <xf numFmtId="0" fontId="0" fillId="0" borderId="29" xfId="0" applyBorder="1" applyAlignment="1">
      <alignment/>
    </xf>
    <xf numFmtId="0" fontId="0" fillId="0" borderId="30" xfId="0" applyBorder="1" applyAlignment="1">
      <alignment/>
    </xf>
    <xf numFmtId="0" fontId="0" fillId="0" borderId="30" xfId="0" applyFont="1" applyFill="1" applyBorder="1" applyAlignment="1">
      <alignment/>
    </xf>
    <xf numFmtId="0" fontId="0" fillId="0" borderId="30" xfId="0" applyFont="1" applyBorder="1" applyAlignment="1">
      <alignment/>
    </xf>
    <xf numFmtId="0" fontId="4" fillId="0" borderId="30" xfId="0" applyFont="1" applyBorder="1" applyAlignment="1">
      <alignment/>
    </xf>
    <xf numFmtId="0" fontId="0" fillId="0" borderId="30" xfId="0" applyFill="1" applyBorder="1" applyAlignment="1">
      <alignment/>
    </xf>
    <xf numFmtId="0" fontId="11" fillId="0" borderId="30" xfId="0" applyFont="1" applyFill="1" applyBorder="1" applyAlignment="1">
      <alignment/>
    </xf>
    <xf numFmtId="0" fontId="0" fillId="0" borderId="30" xfId="0" applyFont="1" applyBorder="1" applyAlignment="1">
      <alignment/>
    </xf>
    <xf numFmtId="0" fontId="1" fillId="4" borderId="31" xfId="0" applyFont="1" applyFill="1" applyBorder="1" applyAlignment="1">
      <alignment/>
    </xf>
    <xf numFmtId="0" fontId="1" fillId="5" borderId="32" xfId="0" applyFont="1" applyFill="1" applyBorder="1" applyAlignment="1">
      <alignment/>
    </xf>
    <xf numFmtId="0" fontId="1" fillId="2" borderId="24" xfId="0" applyFont="1" applyFill="1" applyBorder="1" applyAlignment="1">
      <alignment/>
    </xf>
    <xf numFmtId="0" fontId="0" fillId="0" borderId="33" xfId="0" applyFont="1" applyFill="1" applyBorder="1" applyAlignment="1">
      <alignment/>
    </xf>
    <xf numFmtId="0" fontId="0" fillId="0" borderId="24" xfId="0" applyBorder="1" applyAlignment="1">
      <alignment horizontal="center"/>
    </xf>
    <xf numFmtId="0" fontId="0" fillId="0" borderId="30" xfId="0" applyFont="1" applyFill="1" applyBorder="1" applyAlignment="1">
      <alignment/>
    </xf>
    <xf numFmtId="0" fontId="0" fillId="0" borderId="30" xfId="0" applyFont="1" applyFill="1" applyBorder="1" applyAlignment="1">
      <alignment/>
    </xf>
    <xf numFmtId="0" fontId="0" fillId="0" borderId="16" xfId="0" applyFont="1" applyBorder="1" applyAlignment="1">
      <alignment horizontal="center"/>
    </xf>
    <xf numFmtId="0" fontId="0" fillId="0" borderId="30" xfId="0" applyFont="1" applyFill="1" applyBorder="1" applyAlignment="1">
      <alignment/>
    </xf>
    <xf numFmtId="0" fontId="0" fillId="0" borderId="1" xfId="0" applyFont="1" applyBorder="1" applyAlignment="1">
      <alignment horizontal="center"/>
    </xf>
    <xf numFmtId="0" fontId="0" fillId="0" borderId="34" xfId="0" applyFont="1" applyFill="1" applyBorder="1" applyAlignment="1">
      <alignment/>
    </xf>
    <xf numFmtId="0" fontId="15" fillId="0" borderId="22" xfId="0" applyFont="1" applyFill="1" applyBorder="1" applyAlignment="1">
      <alignment/>
    </xf>
    <xf numFmtId="0" fontId="0" fillId="0" borderId="35" xfId="0" applyBorder="1" applyAlignment="1">
      <alignment horizontal="center"/>
    </xf>
    <xf numFmtId="0" fontId="0" fillId="0" borderId="1" xfId="0" applyFont="1" applyFill="1" applyBorder="1" applyAlignment="1">
      <alignment/>
    </xf>
    <xf numFmtId="0" fontId="0" fillId="0" borderId="9" xfId="0" applyBorder="1" applyAlignment="1">
      <alignment/>
    </xf>
    <xf numFmtId="0" fontId="0" fillId="0" borderId="7" xfId="0" applyFont="1" applyFill="1" applyBorder="1" applyAlignment="1">
      <alignment horizontal="center"/>
    </xf>
    <xf numFmtId="0" fontId="0" fillId="0" borderId="7" xfId="0" applyFont="1" applyBorder="1" applyAlignment="1">
      <alignment horizontal="center"/>
    </xf>
    <xf numFmtId="0" fontId="15" fillId="6" borderId="0" xfId="0" applyFont="1" applyFill="1" applyAlignment="1">
      <alignment/>
    </xf>
    <xf numFmtId="0" fontId="0" fillId="0" borderId="22" xfId="0" applyFont="1" applyFill="1" applyBorder="1" applyAlignment="1">
      <alignment/>
    </xf>
    <xf numFmtId="0" fontId="15" fillId="0" borderId="22" xfId="0" applyFont="1" applyFill="1" applyBorder="1" applyAlignment="1">
      <alignment/>
    </xf>
    <xf numFmtId="0" fontId="0" fillId="0" borderId="22" xfId="0" applyFont="1" applyFill="1" applyBorder="1" applyAlignment="1">
      <alignment/>
    </xf>
    <xf numFmtId="0" fontId="4" fillId="0" borderId="22" xfId="0" applyFont="1" applyFill="1" applyBorder="1" applyAlignment="1">
      <alignment/>
    </xf>
    <xf numFmtId="0" fontId="5" fillId="0" borderId="22"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1" fillId="4" borderId="20" xfId="0" applyFont="1" applyFill="1" applyBorder="1" applyAlignment="1">
      <alignment/>
    </xf>
    <xf numFmtId="0" fontId="0" fillId="0" borderId="22" xfId="0" applyFont="1" applyFill="1" applyBorder="1" applyAlignment="1">
      <alignment vertical="center"/>
    </xf>
    <xf numFmtId="0" fontId="1" fillId="5" borderId="36" xfId="0" applyFont="1" applyFill="1" applyBorder="1" applyAlignment="1">
      <alignment/>
    </xf>
    <xf numFmtId="0" fontId="1" fillId="2" borderId="37" xfId="0" applyFont="1" applyFill="1" applyBorder="1" applyAlignment="1">
      <alignment/>
    </xf>
    <xf numFmtId="0" fontId="0" fillId="0" borderId="38" xfId="0" applyBorder="1" applyAlignment="1">
      <alignment horizontal="left"/>
    </xf>
    <xf numFmtId="0" fontId="0" fillId="0" borderId="30" xfId="0" applyBorder="1" applyAlignment="1">
      <alignment vertical="center" wrapText="1"/>
    </xf>
    <xf numFmtId="0" fontId="0" fillId="6" borderId="30" xfId="0" applyFill="1" applyBorder="1" applyAlignment="1">
      <alignment/>
    </xf>
    <xf numFmtId="0" fontId="0" fillId="0" borderId="32" xfId="0" applyFont="1" applyBorder="1" applyAlignment="1">
      <alignment/>
    </xf>
    <xf numFmtId="0" fontId="0" fillId="0" borderId="32" xfId="0" applyFont="1" applyBorder="1" applyAlignment="1">
      <alignment/>
    </xf>
    <xf numFmtId="0" fontId="0" fillId="0" borderId="31" xfId="0" applyBorder="1" applyAlignment="1">
      <alignment/>
    </xf>
    <xf numFmtId="0" fontId="1" fillId="0" borderId="24" xfId="0" applyFont="1" applyBorder="1" applyAlignment="1">
      <alignment/>
    </xf>
    <xf numFmtId="0" fontId="0" fillId="0" borderId="33"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vertical="center"/>
    </xf>
    <xf numFmtId="0" fontId="0" fillId="0" borderId="22" xfId="0" applyFont="1" applyFill="1" applyBorder="1" applyAlignment="1">
      <alignment/>
    </xf>
    <xf numFmtId="0" fontId="15" fillId="6" borderId="22" xfId="0" applyFont="1" applyFill="1" applyBorder="1" applyAlignment="1">
      <alignment/>
    </xf>
    <xf numFmtId="0" fontId="1" fillId="0" borderId="37" xfId="0" applyFont="1" applyBorder="1" applyAlignment="1">
      <alignment/>
    </xf>
    <xf numFmtId="0" fontId="0" fillId="0" borderId="39" xfId="0" applyFont="1" applyBorder="1" applyAlignment="1">
      <alignment/>
    </xf>
    <xf numFmtId="0" fontId="0" fillId="0" borderId="40" xfId="0" applyFont="1" applyBorder="1" applyAlignment="1">
      <alignment/>
    </xf>
    <xf numFmtId="0" fontId="0" fillId="0" borderId="41" xfId="0" applyFont="1" applyBorder="1" applyAlignment="1">
      <alignment/>
    </xf>
    <xf numFmtId="0" fontId="0" fillId="2" borderId="33" xfId="0" applyFont="1" applyFill="1" applyBorder="1" applyAlignment="1">
      <alignment/>
    </xf>
    <xf numFmtId="0" fontId="0" fillId="3" borderId="22" xfId="0" applyFont="1" applyFill="1" applyBorder="1" applyAlignment="1">
      <alignment/>
    </xf>
    <xf numFmtId="0" fontId="0" fillId="0" borderId="22" xfId="0" applyFont="1" applyBorder="1" applyAlignment="1">
      <alignment/>
    </xf>
    <xf numFmtId="0" fontId="0" fillId="0" borderId="20" xfId="0" applyFont="1" applyBorder="1" applyAlignment="1">
      <alignment/>
    </xf>
    <xf numFmtId="0" fontId="15" fillId="0" borderId="0" xfId="0" applyFont="1" applyFill="1" applyBorder="1" applyAlignment="1">
      <alignment/>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6" fillId="0" borderId="37" xfId="0" applyFont="1" applyFill="1" applyBorder="1" applyAlignment="1">
      <alignment horizontal="center" wrapText="1"/>
    </xf>
    <xf numFmtId="0" fontId="0" fillId="0" borderId="17" xfId="0" applyFont="1" applyFill="1" applyBorder="1" applyAlignment="1">
      <alignment/>
    </xf>
    <xf numFmtId="3" fontId="0" fillId="0" borderId="0" xfId="0" applyNumberFormat="1" applyBorder="1" applyAlignment="1">
      <alignment/>
    </xf>
    <xf numFmtId="0" fontId="15" fillId="0" borderId="0" xfId="0" applyFont="1" applyFill="1" applyBorder="1" applyAlignment="1">
      <alignment/>
    </xf>
    <xf numFmtId="0" fontId="0" fillId="0" borderId="42" xfId="0" applyFont="1" applyFill="1" applyBorder="1" applyAlignment="1">
      <alignment/>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0" borderId="17" xfId="0" applyFont="1" applyFill="1" applyBorder="1" applyAlignment="1">
      <alignment/>
    </xf>
    <xf numFmtId="0" fontId="15" fillId="6" borderId="9" xfId="0" applyFont="1" applyFill="1" applyBorder="1" applyAlignment="1">
      <alignment/>
    </xf>
    <xf numFmtId="0" fontId="0" fillId="6" borderId="1" xfId="0" applyFill="1" applyBorder="1" applyAlignment="1">
      <alignment horizontal="center"/>
    </xf>
    <xf numFmtId="0" fontId="1" fillId="6" borderId="30" xfId="0" applyFont="1" applyFill="1" applyBorder="1" applyAlignment="1">
      <alignment/>
    </xf>
    <xf numFmtId="0" fontId="1" fillId="6" borderId="22" xfId="0" applyFont="1" applyFill="1" applyBorder="1" applyAlignment="1">
      <alignment/>
    </xf>
    <xf numFmtId="0" fontId="1" fillId="6" borderId="9" xfId="0" applyFont="1" applyFill="1" applyBorder="1" applyAlignment="1">
      <alignment/>
    </xf>
    <xf numFmtId="0" fontId="0" fillId="6" borderId="7" xfId="0" applyFont="1" applyFill="1" applyBorder="1" applyAlignment="1">
      <alignment horizontal="center"/>
    </xf>
    <xf numFmtId="0" fontId="0" fillId="6" borderId="1" xfId="0" applyFont="1" applyFill="1" applyBorder="1" applyAlignment="1">
      <alignment horizontal="center"/>
    </xf>
    <xf numFmtId="0" fontId="1" fillId="6" borderId="30" xfId="0" applyFont="1" applyFill="1" applyBorder="1" applyAlignment="1">
      <alignment/>
    </xf>
    <xf numFmtId="0" fontId="0" fillId="6" borderId="1" xfId="0" applyFont="1" applyFill="1" applyBorder="1" applyAlignment="1">
      <alignment horizontal="center"/>
    </xf>
    <xf numFmtId="0" fontId="0" fillId="6" borderId="9" xfId="0" applyFont="1" applyFill="1" applyBorder="1" applyAlignment="1">
      <alignment/>
    </xf>
    <xf numFmtId="0" fontId="1" fillId="0" borderId="9" xfId="0" applyFont="1" applyFill="1" applyBorder="1" applyAlignment="1">
      <alignment vertical="center"/>
    </xf>
    <xf numFmtId="0" fontId="0" fillId="0" borderId="17" xfId="0" applyFont="1" applyFill="1" applyBorder="1" applyAlignment="1">
      <alignment/>
    </xf>
    <xf numFmtId="0" fontId="0" fillId="6" borderId="9" xfId="0" applyFont="1" applyFill="1" applyBorder="1" applyAlignment="1">
      <alignment/>
    </xf>
    <xf numFmtId="0" fontId="0" fillId="0" borderId="11" xfId="0" applyFont="1" applyFill="1" applyBorder="1" applyAlignment="1">
      <alignment/>
    </xf>
    <xf numFmtId="0" fontId="0" fillId="6" borderId="0" xfId="0" applyFont="1" applyFill="1" applyAlignment="1">
      <alignment/>
    </xf>
    <xf numFmtId="0" fontId="14" fillId="0" borderId="33" xfId="0" applyFont="1" applyBorder="1" applyAlignment="1">
      <alignment horizontal="center"/>
    </xf>
    <xf numFmtId="0" fontId="14" fillId="0" borderId="20" xfId="0" applyFont="1" applyBorder="1" applyAlignment="1">
      <alignment horizontal="center"/>
    </xf>
    <xf numFmtId="0" fontId="0" fillId="0" borderId="30" xfId="0" applyFont="1" applyFill="1" applyBorder="1" applyAlignment="1">
      <alignment/>
    </xf>
    <xf numFmtId="0" fontId="15" fillId="0" borderId="34" xfId="0" applyFont="1" applyFill="1" applyBorder="1" applyAlignment="1">
      <alignment/>
    </xf>
    <xf numFmtId="0" fontId="15" fillId="0" borderId="26" xfId="0" applyFont="1" applyFill="1" applyBorder="1" applyAlignment="1">
      <alignment/>
    </xf>
    <xf numFmtId="0" fontId="10" fillId="0" borderId="1" xfId="0" applyFont="1" applyBorder="1" applyAlignment="1">
      <alignment horizontal="center"/>
    </xf>
    <xf numFmtId="0" fontId="15" fillId="0" borderId="18" xfId="0" applyFont="1" applyFill="1" applyBorder="1" applyAlignment="1">
      <alignment horizontal="right"/>
    </xf>
    <xf numFmtId="0" fontId="15" fillId="0" borderId="18" xfId="0" applyFont="1" applyFill="1" applyBorder="1" applyAlignment="1">
      <alignment vertical="center"/>
    </xf>
    <xf numFmtId="0" fontId="0" fillId="0" borderId="0" xfId="0" applyFill="1" applyBorder="1" applyAlignment="1">
      <alignment/>
    </xf>
    <xf numFmtId="0" fontId="0" fillId="0" borderId="30" xfId="0" applyFont="1" applyBorder="1" applyAlignment="1">
      <alignment/>
    </xf>
    <xf numFmtId="0" fontId="15" fillId="0" borderId="28" xfId="0" applyFont="1" applyFill="1" applyBorder="1" applyAlignment="1">
      <alignment horizontal="right"/>
    </xf>
    <xf numFmtId="0" fontId="0" fillId="0" borderId="0" xfId="0" applyFill="1" applyAlignment="1">
      <alignment vertical="center"/>
    </xf>
    <xf numFmtId="0" fontId="2" fillId="0" borderId="0" xfId="0" applyFont="1" applyBorder="1" applyAlignment="1">
      <alignment/>
    </xf>
    <xf numFmtId="0" fontId="2" fillId="0" borderId="0" xfId="0" applyFont="1" applyFill="1" applyAlignment="1">
      <alignment/>
    </xf>
    <xf numFmtId="0" fontId="0" fillId="0" borderId="1" xfId="0" applyFont="1" applyFill="1" applyBorder="1" applyAlignment="1">
      <alignment/>
    </xf>
    <xf numFmtId="0" fontId="0" fillId="0" borderId="29" xfId="0" applyFont="1" applyFill="1" applyBorder="1" applyAlignment="1">
      <alignment/>
    </xf>
    <xf numFmtId="0" fontId="2" fillId="0" borderId="43" xfId="0" applyFont="1" applyFill="1" applyBorder="1" applyAlignment="1">
      <alignment horizontal="center" vertical="center"/>
    </xf>
    <xf numFmtId="0" fontId="2" fillId="0" borderId="44" xfId="0" applyFont="1" applyBorder="1" applyAlignment="1">
      <alignment/>
    </xf>
    <xf numFmtId="0" fontId="14" fillId="0" borderId="0" xfId="0" applyFont="1" applyBorder="1" applyAlignment="1">
      <alignment horizontal="center"/>
    </xf>
    <xf numFmtId="0" fontId="14" fillId="0" borderId="0" xfId="0" applyFont="1" applyBorder="1" applyAlignment="1">
      <alignment horizontal="center"/>
    </xf>
    <xf numFmtId="0" fontId="2" fillId="0" borderId="6" xfId="0" applyFont="1" applyFill="1" applyBorder="1" applyAlignment="1">
      <alignment vertical="center"/>
    </xf>
    <xf numFmtId="0" fontId="2" fillId="0" borderId="7" xfId="0" applyFont="1" applyFill="1" applyBorder="1" applyAlignment="1">
      <alignment vertical="center" wrapText="1"/>
    </xf>
    <xf numFmtId="0" fontId="2" fillId="0" borderId="41" xfId="0" applyFont="1" applyFill="1" applyBorder="1" applyAlignment="1">
      <alignment horizontal="center" vertical="center"/>
    </xf>
    <xf numFmtId="0" fontId="2" fillId="0" borderId="12" xfId="0" applyFont="1" applyFill="1" applyBorder="1" applyAlignment="1">
      <alignment vertical="center" wrapText="1"/>
    </xf>
    <xf numFmtId="0" fontId="2" fillId="0" borderId="30" xfId="0" applyFont="1" applyBorder="1" applyAlignment="1">
      <alignment vertical="center" wrapText="1"/>
    </xf>
    <xf numFmtId="0" fontId="0" fillId="0" borderId="42" xfId="0" applyFont="1" applyFill="1" applyBorder="1" applyAlignment="1">
      <alignment horizontal="right" vertical="center"/>
    </xf>
    <xf numFmtId="0" fontId="0" fillId="0" borderId="36" xfId="0" applyFont="1" applyFill="1" applyBorder="1" applyAlignment="1">
      <alignment horizontal="right" vertical="center"/>
    </xf>
    <xf numFmtId="0" fontId="0" fillId="6" borderId="22" xfId="0" applyFont="1" applyFill="1" applyBorder="1" applyAlignment="1">
      <alignment/>
    </xf>
    <xf numFmtId="0" fontId="0" fillId="0" borderId="36" xfId="0" applyFont="1" applyFill="1" applyBorder="1" applyAlignment="1">
      <alignment/>
    </xf>
    <xf numFmtId="0" fontId="15" fillId="0" borderId="36" xfId="0" applyFont="1" applyFill="1" applyBorder="1" applyAlignment="1">
      <alignment/>
    </xf>
    <xf numFmtId="0" fontId="15" fillId="0" borderId="20" xfId="0" applyFont="1" applyFill="1" applyBorder="1" applyAlignment="1">
      <alignment/>
    </xf>
    <xf numFmtId="0" fontId="25" fillId="0" borderId="22" xfId="0" applyFont="1" applyBorder="1" applyAlignment="1">
      <alignment horizontal="center"/>
    </xf>
    <xf numFmtId="0" fontId="2" fillId="0" borderId="45" xfId="0" applyFont="1" applyFill="1" applyBorder="1" applyAlignment="1">
      <alignment horizontal="center" vertical="center"/>
    </xf>
    <xf numFmtId="0" fontId="2" fillId="0" borderId="25" xfId="0" applyFont="1" applyFill="1" applyBorder="1" applyAlignment="1">
      <alignment vertical="center"/>
    </xf>
    <xf numFmtId="0" fontId="25" fillId="0" borderId="42" xfId="0" applyFont="1" applyBorder="1" applyAlignment="1">
      <alignment horizontal="center"/>
    </xf>
    <xf numFmtId="0" fontId="25" fillId="0" borderId="46" xfId="0" applyFont="1" applyBorder="1" applyAlignment="1">
      <alignment horizontal="center"/>
    </xf>
    <xf numFmtId="0" fontId="25" fillId="0" borderId="47" xfId="0" applyFont="1" applyBorder="1" applyAlignment="1">
      <alignment horizontal="center"/>
    </xf>
    <xf numFmtId="0" fontId="2" fillId="0" borderId="48" xfId="0" applyFont="1" applyFill="1" applyBorder="1" applyAlignment="1">
      <alignment horizontal="center" vertical="center"/>
    </xf>
    <xf numFmtId="0" fontId="2" fillId="0" borderId="23" xfId="0" applyFont="1" applyFill="1" applyBorder="1" applyAlignment="1">
      <alignment vertical="center" wrapText="1"/>
    </xf>
    <xf numFmtId="0" fontId="25" fillId="0" borderId="36" xfId="0" applyFont="1" applyBorder="1" applyAlignment="1">
      <alignment horizontal="center"/>
    </xf>
    <xf numFmtId="0" fontId="2" fillId="0" borderId="39" xfId="0" applyFont="1" applyBorder="1" applyAlignment="1">
      <alignment horizontal="center"/>
    </xf>
    <xf numFmtId="0" fontId="25" fillId="0" borderId="19" xfId="0" applyFont="1" applyBorder="1" applyAlignment="1">
      <alignment horizontal="center"/>
    </xf>
    <xf numFmtId="0" fontId="0" fillId="0" borderId="33" xfId="0" applyFont="1" applyBorder="1" applyAlignment="1">
      <alignment/>
    </xf>
    <xf numFmtId="0" fontId="0" fillId="0" borderId="20" xfId="0" applyFont="1" applyBorder="1" applyAlignment="1">
      <alignment/>
    </xf>
    <xf numFmtId="0" fontId="25" fillId="0" borderId="49" xfId="0" applyFont="1" applyBorder="1" applyAlignment="1">
      <alignment horizontal="center"/>
    </xf>
    <xf numFmtId="0" fontId="25" fillId="0" borderId="44" xfId="0" applyFont="1" applyBorder="1" applyAlignment="1">
      <alignment horizontal="center"/>
    </xf>
    <xf numFmtId="0" fontId="15" fillId="0" borderId="42" xfId="0" applyFont="1" applyFill="1" applyBorder="1" applyAlignment="1">
      <alignment vertical="center"/>
    </xf>
    <xf numFmtId="0" fontId="0" fillId="0" borderId="36"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42" xfId="0" applyFont="1" applyFill="1" applyBorder="1" applyAlignment="1">
      <alignment horizontal="right" vertical="center"/>
    </xf>
    <xf numFmtId="0" fontId="0" fillId="0" borderId="30" xfId="0" applyFont="1" applyBorder="1" applyAlignment="1">
      <alignment horizontal="left"/>
    </xf>
    <xf numFmtId="0" fontId="0" fillId="0" borderId="42" xfId="0" applyFont="1" applyFill="1" applyBorder="1" applyAlignment="1">
      <alignment vertical="center"/>
    </xf>
    <xf numFmtId="0" fontId="15" fillId="0" borderId="36" xfId="0" applyFont="1" applyFill="1" applyBorder="1" applyAlignment="1">
      <alignment vertical="center"/>
    </xf>
    <xf numFmtId="0" fontId="15" fillId="0" borderId="47" xfId="0" applyFont="1" applyFill="1" applyBorder="1" applyAlignment="1">
      <alignment vertical="center"/>
    </xf>
    <xf numFmtId="0" fontId="0" fillId="0" borderId="36" xfId="0" applyFont="1" applyFill="1" applyBorder="1" applyAlignment="1">
      <alignment vertical="center"/>
    </xf>
    <xf numFmtId="0" fontId="0" fillId="0" borderId="47" xfId="0" applyFont="1" applyFill="1" applyBorder="1" applyAlignment="1">
      <alignment vertical="center"/>
    </xf>
    <xf numFmtId="0" fontId="2" fillId="5" borderId="25" xfId="0" applyFont="1" applyFill="1" applyBorder="1" applyAlignment="1">
      <alignment horizontal="center" textRotation="90"/>
    </xf>
    <xf numFmtId="0" fontId="0" fillId="0" borderId="7" xfId="0" applyBorder="1" applyAlignment="1">
      <alignment horizontal="center" textRotation="90"/>
    </xf>
    <xf numFmtId="0" fontId="0" fillId="0" borderId="23" xfId="0" applyBorder="1" applyAlignment="1">
      <alignment horizontal="center" textRotation="90"/>
    </xf>
    <xf numFmtId="0" fontId="0" fillId="0" borderId="16" xfId="0" applyFont="1" applyBorder="1" applyAlignment="1">
      <alignment horizontal="center" textRotation="90"/>
    </xf>
    <xf numFmtId="0" fontId="0" fillId="0" borderId="1" xfId="0" applyBorder="1" applyAlignment="1">
      <alignment/>
    </xf>
    <xf numFmtId="0" fontId="0" fillId="0" borderId="30" xfId="0" applyFont="1" applyBorder="1" applyAlignment="1">
      <alignment horizontal="center" textRotation="90"/>
    </xf>
    <xf numFmtId="0" fontId="0" fillId="0" borderId="30" xfId="0" applyBorder="1" applyAlignment="1">
      <alignment/>
    </xf>
    <xf numFmtId="0" fontId="0" fillId="0" borderId="1" xfId="0" applyFont="1" applyBorder="1" applyAlignment="1">
      <alignment horizontal="center" textRotation="90" wrapText="1"/>
    </xf>
    <xf numFmtId="0" fontId="0" fillId="0" borderId="2" xfId="0" applyBorder="1" applyAlignment="1">
      <alignment/>
    </xf>
    <xf numFmtId="0" fontId="0" fillId="0" borderId="32" xfId="0" applyBorder="1" applyAlignment="1">
      <alignment/>
    </xf>
    <xf numFmtId="0" fontId="0" fillId="0" borderId="29" xfId="0" applyFont="1" applyBorder="1" applyAlignment="1">
      <alignment horizontal="center" textRotation="90"/>
    </xf>
    <xf numFmtId="0" fontId="0" fillId="0" borderId="29" xfId="0" applyBorder="1" applyAlignment="1">
      <alignment horizontal="center" textRotation="90"/>
    </xf>
    <xf numFmtId="0" fontId="0" fillId="0" borderId="1" xfId="0" applyBorder="1" applyAlignment="1">
      <alignment horizontal="center" textRotation="90"/>
    </xf>
    <xf numFmtId="0" fontId="0" fillId="0" borderId="30" xfId="0" applyBorder="1" applyAlignment="1">
      <alignment horizontal="center" textRotation="90"/>
    </xf>
    <xf numFmtId="0" fontId="0" fillId="0" borderId="30" xfId="0" applyBorder="1" applyAlignment="1">
      <alignment textRotation="90"/>
    </xf>
    <xf numFmtId="0" fontId="0" fillId="0" borderId="1" xfId="0" applyBorder="1" applyAlignment="1">
      <alignment textRotation="90"/>
    </xf>
    <xf numFmtId="0" fontId="0" fillId="0" borderId="4" xfId="0" applyBorder="1" applyAlignment="1">
      <alignment textRotation="90"/>
    </xf>
    <xf numFmtId="0" fontId="0" fillId="0" borderId="31" xfId="0" applyBorder="1" applyAlignment="1">
      <alignment textRotation="90"/>
    </xf>
    <xf numFmtId="0" fontId="2" fillId="4" borderId="25" xfId="0" applyFont="1" applyFill="1" applyBorder="1" applyAlignment="1">
      <alignment horizontal="center" textRotation="90"/>
    </xf>
    <xf numFmtId="0" fontId="0" fillId="0" borderId="7" xfId="0" applyBorder="1" applyAlignment="1">
      <alignment/>
    </xf>
    <xf numFmtId="0" fontId="0" fillId="0" borderId="12" xfId="0" applyBorder="1" applyAlignment="1">
      <alignment/>
    </xf>
    <xf numFmtId="0" fontId="0" fillId="0" borderId="50" xfId="0" applyBorder="1" applyAlignment="1">
      <alignment horizontal="right"/>
    </xf>
    <xf numFmtId="0" fontId="8" fillId="0" borderId="0" xfId="0" applyFont="1"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18" xfId="0" applyFont="1" applyBorder="1" applyAlignment="1">
      <alignment horizontal="left"/>
    </xf>
    <xf numFmtId="0" fontId="0" fillId="0" borderId="1" xfId="0" applyFont="1" applyBorder="1" applyAlignment="1">
      <alignment/>
    </xf>
    <xf numFmtId="0" fontId="0" fillId="0" borderId="9" xfId="0" applyFont="1" applyBorder="1" applyAlignment="1">
      <alignment/>
    </xf>
    <xf numFmtId="0" fontId="0" fillId="0" borderId="9" xfId="0" applyBorder="1" applyAlignment="1">
      <alignment/>
    </xf>
    <xf numFmtId="0" fontId="4" fillId="0" borderId="1" xfId="0" applyFont="1" applyBorder="1" applyAlignment="1">
      <alignment/>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0" fillId="0" borderId="32" xfId="0" applyFill="1" applyBorder="1" applyAlignment="1">
      <alignment horizontal="center" vertical="center" shrinkToFit="1"/>
    </xf>
    <xf numFmtId="0" fontId="0" fillId="0" borderId="51"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52" xfId="0" applyFill="1" applyBorder="1" applyAlignment="1">
      <alignment horizontal="center" vertical="center" shrinkToFit="1"/>
    </xf>
    <xf numFmtId="0" fontId="0" fillId="0" borderId="1" xfId="0" applyFont="1" applyBorder="1" applyAlignment="1">
      <alignment/>
    </xf>
    <xf numFmtId="0" fontId="0" fillId="0" borderId="9" xfId="0" applyFont="1" applyBorder="1" applyAlignment="1">
      <alignment/>
    </xf>
    <xf numFmtId="0" fontId="10" fillId="0" borderId="30" xfId="0" applyFont="1" applyBorder="1" applyAlignment="1">
      <alignment horizontal="center"/>
    </xf>
    <xf numFmtId="0" fontId="10" fillId="0" borderId="18" xfId="0" applyFont="1" applyBorder="1" applyAlignment="1">
      <alignment horizontal="center"/>
    </xf>
    <xf numFmtId="0" fontId="0" fillId="0" borderId="30" xfId="0" applyFont="1" applyBorder="1" applyAlignment="1">
      <alignment horizontal="left"/>
    </xf>
    <xf numFmtId="0" fontId="0" fillId="0" borderId="18" xfId="0" applyFont="1" applyBorder="1" applyAlignment="1">
      <alignment horizontal="left"/>
    </xf>
    <xf numFmtId="0" fontId="0" fillId="0" borderId="7" xfId="0"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xf>
    <xf numFmtId="0" fontId="0" fillId="0" borderId="9" xfId="0" applyFont="1" applyBorder="1" applyAlignment="1">
      <alignment/>
    </xf>
    <xf numFmtId="0" fontId="0" fillId="0" borderId="53" xfId="0" applyBorder="1" applyAlignment="1">
      <alignment horizontal="center"/>
    </xf>
    <xf numFmtId="0" fontId="0" fillId="0" borderId="27" xfId="0" applyBorder="1" applyAlignment="1">
      <alignment horizontal="center"/>
    </xf>
    <xf numFmtId="0" fontId="0" fillId="0" borderId="3" xfId="0" applyBorder="1" applyAlignment="1">
      <alignment horizontal="left"/>
    </xf>
    <xf numFmtId="0" fontId="0" fillId="0" borderId="10" xfId="0" applyBorder="1" applyAlignment="1">
      <alignment horizontal="left"/>
    </xf>
    <xf numFmtId="0" fontId="4" fillId="0" borderId="1" xfId="0" applyFont="1"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0" borderId="1" xfId="0" applyFill="1" applyBorder="1" applyAlignment="1">
      <alignment/>
    </xf>
    <xf numFmtId="0" fontId="0" fillId="0" borderId="9" xfId="0" applyFill="1" applyBorder="1" applyAlignment="1">
      <alignment/>
    </xf>
    <xf numFmtId="0" fontId="10" fillId="0" borderId="1" xfId="0" applyFont="1" applyBorder="1" applyAlignment="1">
      <alignment/>
    </xf>
    <xf numFmtId="0" fontId="10" fillId="0" borderId="9" xfId="0" applyFont="1" applyBorder="1" applyAlignment="1">
      <alignment/>
    </xf>
    <xf numFmtId="0" fontId="0" fillId="0" borderId="30" xfId="0" applyBorder="1" applyAlignment="1">
      <alignment horizontal="left"/>
    </xf>
    <xf numFmtId="0" fontId="0" fillId="0" borderId="18" xfId="0" applyBorder="1" applyAlignment="1">
      <alignment horizontal="left"/>
    </xf>
    <xf numFmtId="0" fontId="0" fillId="0" borderId="12" xfId="0" applyBorder="1" applyAlignment="1">
      <alignment horizontal="center" textRotation="90"/>
    </xf>
    <xf numFmtId="0" fontId="2" fillId="4" borderId="54" xfId="0" applyFont="1" applyFill="1" applyBorder="1" applyAlignment="1">
      <alignment textRotation="90"/>
    </xf>
    <xf numFmtId="0" fontId="0" fillId="0" borderId="43" xfId="0" applyBorder="1" applyAlignment="1">
      <alignment/>
    </xf>
    <xf numFmtId="0" fontId="0" fillId="0" borderId="55" xfId="0" applyBorder="1" applyAlignment="1">
      <alignment/>
    </xf>
    <xf numFmtId="0" fontId="0" fillId="0" borderId="1" xfId="0" applyFont="1" applyFill="1" applyBorder="1" applyAlignment="1">
      <alignment/>
    </xf>
    <xf numFmtId="0" fontId="0" fillId="0" borderId="9" xfId="0" applyFont="1" applyFill="1" applyBorder="1" applyAlignment="1">
      <alignment/>
    </xf>
    <xf numFmtId="0" fontId="0" fillId="0" borderId="56" xfId="0" applyBorder="1" applyAlignment="1">
      <alignment horizontal="center" vertical="center"/>
    </xf>
    <xf numFmtId="0" fontId="0" fillId="0" borderId="16" xfId="0" applyBorder="1" applyAlignment="1">
      <alignment horizontal="center" vertical="center"/>
    </xf>
    <xf numFmtId="0" fontId="1" fillId="3" borderId="24" xfId="0" applyFont="1" applyFill="1" applyBorder="1" applyAlignment="1">
      <alignment/>
    </xf>
    <xf numFmtId="0" fontId="0" fillId="0" borderId="44" xfId="0" applyBorder="1" applyAlignment="1">
      <alignment/>
    </xf>
    <xf numFmtId="0" fontId="0" fillId="0" borderId="18" xfId="0" applyBorder="1" applyAlignment="1">
      <alignment/>
    </xf>
    <xf numFmtId="0" fontId="1" fillId="5" borderId="31" xfId="0" applyFont="1" applyFill="1" applyBorder="1" applyAlignment="1">
      <alignment/>
    </xf>
    <xf numFmtId="0" fontId="0" fillId="0" borderId="19" xfId="0" applyBorder="1" applyAlignment="1">
      <alignment/>
    </xf>
    <xf numFmtId="0" fontId="0" fillId="0" borderId="56" xfId="0" applyBorder="1" applyAlignment="1">
      <alignment horizontal="center"/>
    </xf>
    <xf numFmtId="0" fontId="0" fillId="0" borderId="16" xfId="0" applyBorder="1" applyAlignment="1">
      <alignment horizontal="center"/>
    </xf>
    <xf numFmtId="0" fontId="0" fillId="0" borderId="57" xfId="0" applyBorder="1" applyAlignment="1">
      <alignment vertical="center"/>
    </xf>
    <xf numFmtId="0" fontId="0" fillId="0" borderId="58" xfId="0" applyBorder="1" applyAlignment="1">
      <alignment vertical="center"/>
    </xf>
    <xf numFmtId="0" fontId="0" fillId="0" borderId="29" xfId="0" applyBorder="1" applyAlignment="1">
      <alignment vertical="center"/>
    </xf>
    <xf numFmtId="0" fontId="0" fillId="0" borderId="28" xfId="0" applyBorder="1" applyAlignment="1">
      <alignment vertical="center"/>
    </xf>
    <xf numFmtId="0" fontId="0" fillId="0" borderId="50" xfId="0" applyBorder="1" applyAlignment="1">
      <alignment/>
    </xf>
    <xf numFmtId="0" fontId="0" fillId="0" borderId="1" xfId="0" applyFont="1" applyFill="1" applyBorder="1" applyAlignment="1">
      <alignment/>
    </xf>
    <xf numFmtId="0" fontId="0" fillId="0" borderId="43" xfId="0" applyFill="1" applyBorder="1" applyAlignment="1">
      <alignment horizontal="left"/>
    </xf>
    <xf numFmtId="0" fontId="0" fillId="0" borderId="30" xfId="0" applyFont="1" applyFill="1" applyBorder="1" applyAlignment="1">
      <alignment horizontal="left"/>
    </xf>
    <xf numFmtId="0" fontId="0" fillId="0" borderId="18" xfId="0" applyFont="1" applyFill="1" applyBorder="1" applyAlignment="1">
      <alignment horizontal="left"/>
    </xf>
    <xf numFmtId="0" fontId="1" fillId="4" borderId="4" xfId="0" applyFont="1" applyFill="1" applyBorder="1" applyAlignment="1">
      <alignment/>
    </xf>
    <xf numFmtId="0" fontId="0" fillId="0" borderId="11" xfId="0" applyBorder="1" applyAlignment="1">
      <alignment/>
    </xf>
    <xf numFmtId="0" fontId="4" fillId="0" borderId="9" xfId="0" applyFont="1" applyBorder="1" applyAlignment="1">
      <alignment/>
    </xf>
    <xf numFmtId="0" fontId="15" fillId="0" borderId="59" xfId="0" applyFont="1" applyFill="1" applyBorder="1" applyAlignment="1">
      <alignment horizontal="right" vertical="center"/>
    </xf>
    <xf numFmtId="0" fontId="15" fillId="0" borderId="47" xfId="0" applyFont="1" applyFill="1" applyBorder="1" applyAlignment="1">
      <alignment horizontal="right" vertical="center"/>
    </xf>
    <xf numFmtId="0" fontId="15" fillId="0" borderId="42" xfId="0" applyFont="1" applyFill="1" applyBorder="1" applyAlignment="1">
      <alignment horizontal="right" vertical="center"/>
    </xf>
    <xf numFmtId="0" fontId="15" fillId="0" borderId="59" xfId="0" applyFont="1" applyFill="1" applyBorder="1" applyAlignment="1">
      <alignment vertical="center"/>
    </xf>
    <xf numFmtId="0" fontId="15" fillId="0" borderId="47" xfId="0" applyFont="1" applyFill="1" applyBorder="1" applyAlignment="1">
      <alignment/>
    </xf>
    <xf numFmtId="0" fontId="15" fillId="0" borderId="42" xfId="0" applyFont="1" applyFill="1" applyBorder="1" applyAlignment="1">
      <alignment/>
    </xf>
    <xf numFmtId="0" fontId="15" fillId="0" borderId="36" xfId="0" applyFont="1" applyFill="1" applyBorder="1" applyAlignment="1">
      <alignment horizontal="right" vertical="center"/>
    </xf>
    <xf numFmtId="49" fontId="0" fillId="0" borderId="0" xfId="0" applyNumberFormat="1" applyAlignment="1">
      <alignment horizontal="center"/>
    </xf>
    <xf numFmtId="0" fontId="2" fillId="0" borderId="60" xfId="0" applyFont="1" applyBorder="1" applyAlignment="1">
      <alignment horizontal="left"/>
    </xf>
    <xf numFmtId="0" fontId="2" fillId="0" borderId="44" xfId="0" applyFont="1" applyBorder="1" applyAlignment="1">
      <alignment horizontal="left"/>
    </xf>
    <xf numFmtId="0" fontId="14" fillId="0" borderId="60" xfId="0" applyFont="1" applyBorder="1" applyAlignment="1">
      <alignment horizontal="center"/>
    </xf>
    <xf numFmtId="0" fontId="14" fillId="0" borderId="44" xfId="0" applyFont="1" applyBorder="1" applyAlignment="1">
      <alignment horizontal="center"/>
    </xf>
    <xf numFmtId="0" fontId="2" fillId="0" borderId="0" xfId="0" applyFont="1" applyFill="1" applyBorder="1" applyAlignment="1">
      <alignment horizontal="center" vertical="center" wrapText="1"/>
    </xf>
    <xf numFmtId="0" fontId="2" fillId="0" borderId="54" xfId="0" applyFont="1" applyBorder="1" applyAlignment="1">
      <alignment horizontal="left"/>
    </xf>
    <xf numFmtId="0" fontId="2" fillId="0" borderId="27" xfId="0" applyFont="1" applyBorder="1" applyAlignment="1">
      <alignment horizontal="left"/>
    </xf>
    <xf numFmtId="0" fontId="14" fillId="0" borderId="55" xfId="0" applyFont="1" applyBorder="1" applyAlignment="1">
      <alignment horizontal="center"/>
    </xf>
    <xf numFmtId="0" fontId="14" fillId="0" borderId="46" xfId="0" applyFont="1" applyBorder="1" applyAlignment="1">
      <alignment horizontal="center"/>
    </xf>
    <xf numFmtId="0" fontId="8" fillId="0" borderId="0" xfId="0" applyFont="1" applyBorder="1" applyAlignment="1">
      <alignment horizontal="lef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V94"/>
  <sheetViews>
    <sheetView tabSelected="1" zoomScale="75" zoomScaleNormal="75" workbookViewId="0" topLeftCell="D1">
      <pane xSplit="4" ySplit="3" topLeftCell="H4" activePane="bottomRight" state="frozen"/>
      <selection pane="topLeft" activeCell="D1" sqref="D1"/>
      <selection pane="topRight" activeCell="H1" sqref="H1"/>
      <selection pane="bottomLeft" activeCell="D4" sqref="D4"/>
      <selection pane="bottomRight" activeCell="Q13" sqref="Q13"/>
    </sheetView>
  </sheetViews>
  <sheetFormatPr defaultColWidth="9.00390625" defaultRowHeight="12.75"/>
  <cols>
    <col min="1" max="1" width="4.75390625" style="0" customWidth="1"/>
    <col min="2" max="2" width="5.75390625" style="0" customWidth="1"/>
    <col min="3" max="3" width="3.75390625" style="0" customWidth="1"/>
    <col min="4" max="4" width="3.75390625" style="4" customWidth="1"/>
    <col min="5" max="5" width="14.00390625" style="1" bestFit="1" customWidth="1"/>
    <col min="6" max="6" width="10.625" style="1" customWidth="1"/>
    <col min="7" max="7" width="45.125" style="0" customWidth="1"/>
    <col min="8" max="8" width="14.75390625" style="0" customWidth="1"/>
    <col min="9" max="10" width="15.875" style="0" customWidth="1"/>
    <col min="11" max="11" width="13.875" style="0" customWidth="1"/>
  </cols>
  <sheetData>
    <row r="1" spans="1:7" ht="12.75">
      <c r="A1" s="21"/>
      <c r="B1" s="11"/>
      <c r="C1" s="11"/>
      <c r="D1" s="22"/>
      <c r="E1" s="23"/>
      <c r="G1" s="74"/>
    </row>
    <row r="2" spans="1:11" ht="16.5" thickBot="1">
      <c r="A2" s="284" t="s">
        <v>255</v>
      </c>
      <c r="B2" s="285"/>
      <c r="C2" s="285"/>
      <c r="D2" s="285"/>
      <c r="E2" s="285"/>
      <c r="F2" s="285"/>
      <c r="G2" s="286"/>
      <c r="H2" s="283" t="s">
        <v>254</v>
      </c>
      <c r="I2" s="283"/>
      <c r="J2" s="283"/>
      <c r="K2" s="283"/>
    </row>
    <row r="3" spans="1:48" ht="39" customHeight="1" thickBot="1">
      <c r="A3" s="42"/>
      <c r="B3" s="12"/>
      <c r="C3" s="75"/>
      <c r="D3" s="77" t="s">
        <v>27</v>
      </c>
      <c r="E3" s="13" t="s">
        <v>1</v>
      </c>
      <c r="F3" s="13" t="s">
        <v>0</v>
      </c>
      <c r="G3" s="135" t="s">
        <v>2</v>
      </c>
      <c r="H3" s="183" t="s">
        <v>210</v>
      </c>
      <c r="I3" s="54" t="s">
        <v>220</v>
      </c>
      <c r="J3" s="54" t="s">
        <v>242</v>
      </c>
      <c r="K3" s="54" t="s">
        <v>256</v>
      </c>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row>
    <row r="4" spans="1:18" ht="14.25" customHeight="1">
      <c r="A4" s="280" t="s">
        <v>36</v>
      </c>
      <c r="B4" s="265" t="s">
        <v>35</v>
      </c>
      <c r="C4" s="272" t="s">
        <v>33</v>
      </c>
      <c r="D4" s="78">
        <v>1</v>
      </c>
      <c r="E4" s="41">
        <v>1111</v>
      </c>
      <c r="F4" s="41"/>
      <c r="G4" s="123" t="s">
        <v>31</v>
      </c>
      <c r="H4" s="134">
        <f>14000-4000</f>
        <v>10000</v>
      </c>
      <c r="I4" s="134">
        <f>14000-4000</f>
        <v>10000</v>
      </c>
      <c r="J4" s="134">
        <f>14000-4000</f>
        <v>10000</v>
      </c>
      <c r="K4" s="134">
        <f>14000-4000</f>
        <v>10000</v>
      </c>
      <c r="L4" s="11"/>
      <c r="N4" s="185"/>
      <c r="O4" s="89"/>
      <c r="P4" s="122"/>
      <c r="Q4" s="89"/>
      <c r="R4" s="89"/>
    </row>
    <row r="5" spans="1:18" ht="12.75">
      <c r="A5" s="281"/>
      <c r="B5" s="266"/>
      <c r="C5" s="268"/>
      <c r="D5" s="79">
        <v>2</v>
      </c>
      <c r="E5" s="5">
        <v>1112</v>
      </c>
      <c r="F5" s="5"/>
      <c r="G5" s="124" t="s">
        <v>32</v>
      </c>
      <c r="H5" s="149">
        <v>500</v>
      </c>
      <c r="I5" s="98">
        <v>500</v>
      </c>
      <c r="J5" s="98">
        <v>500</v>
      </c>
      <c r="K5" s="98">
        <v>500</v>
      </c>
      <c r="L5" s="11"/>
      <c r="N5" s="89"/>
      <c r="O5" s="89"/>
      <c r="P5" s="122"/>
      <c r="Q5" s="89"/>
      <c r="R5" s="89"/>
    </row>
    <row r="6" spans="1:18" ht="12.75">
      <c r="A6" s="281"/>
      <c r="B6" s="266"/>
      <c r="C6" s="268"/>
      <c r="D6" s="79">
        <v>3</v>
      </c>
      <c r="E6" s="5">
        <v>1113</v>
      </c>
      <c r="F6" s="5"/>
      <c r="G6" s="124" t="s">
        <v>60</v>
      </c>
      <c r="H6" s="149">
        <f>1500-500</f>
        <v>1000</v>
      </c>
      <c r="I6" s="98">
        <f>1500-500</f>
        <v>1000</v>
      </c>
      <c r="J6" s="98">
        <f>1500-500</f>
        <v>1000</v>
      </c>
      <c r="K6" s="98">
        <f>1500-500</f>
        <v>1000</v>
      </c>
      <c r="L6" s="11"/>
      <c r="N6" s="89"/>
      <c r="O6" s="89"/>
      <c r="P6" s="122"/>
      <c r="Q6" s="89"/>
      <c r="R6" s="89"/>
    </row>
    <row r="7" spans="1:18" ht="12.75">
      <c r="A7" s="281"/>
      <c r="B7" s="266"/>
      <c r="C7" s="268"/>
      <c r="D7" s="79">
        <v>4</v>
      </c>
      <c r="E7" s="5">
        <v>1211</v>
      </c>
      <c r="F7" s="5"/>
      <c r="G7" s="124" t="s">
        <v>3</v>
      </c>
      <c r="H7" s="149">
        <f>29000-7500</f>
        <v>21500</v>
      </c>
      <c r="I7" s="98">
        <f>29000-7500</f>
        <v>21500</v>
      </c>
      <c r="J7" s="98">
        <f>29000-7500</f>
        <v>21500</v>
      </c>
      <c r="K7" s="98">
        <f>29000-7500</f>
        <v>21500</v>
      </c>
      <c r="L7" s="11"/>
      <c r="N7" s="89"/>
      <c r="O7" s="89"/>
      <c r="P7" s="122"/>
      <c r="Q7" s="89"/>
      <c r="R7" s="89"/>
    </row>
    <row r="8" spans="1:18" ht="12.75">
      <c r="A8" s="281"/>
      <c r="B8" s="266"/>
      <c r="C8" s="268"/>
      <c r="D8" s="79">
        <v>5</v>
      </c>
      <c r="E8" s="5">
        <v>1121</v>
      </c>
      <c r="F8" s="5"/>
      <c r="G8" s="124" t="s">
        <v>4</v>
      </c>
      <c r="H8" s="149">
        <f>15000-5000</f>
        <v>10000</v>
      </c>
      <c r="I8" s="98">
        <f>15000-5000</f>
        <v>10000</v>
      </c>
      <c r="J8" s="98">
        <f>15000-5000</f>
        <v>10000</v>
      </c>
      <c r="K8" s="98">
        <f>15000-5000</f>
        <v>10000</v>
      </c>
      <c r="L8" s="11"/>
      <c r="N8" s="89"/>
      <c r="O8" s="89"/>
      <c r="P8" s="122"/>
      <c r="Q8" s="89"/>
      <c r="R8" s="89"/>
    </row>
    <row r="9" spans="1:18" ht="12.75">
      <c r="A9" s="281"/>
      <c r="B9" s="266"/>
      <c r="C9" s="268"/>
      <c r="D9" s="79">
        <v>6</v>
      </c>
      <c r="E9" s="53" t="s">
        <v>125</v>
      </c>
      <c r="F9" s="5"/>
      <c r="G9" s="124" t="s">
        <v>206</v>
      </c>
      <c r="H9" s="150">
        <f>27000+6000</f>
        <v>33000</v>
      </c>
      <c r="I9" s="98">
        <f>27000+6000</f>
        <v>33000</v>
      </c>
      <c r="J9" s="96">
        <v>36000</v>
      </c>
      <c r="K9" s="96">
        <f>36000+4000</f>
        <v>40000</v>
      </c>
      <c r="L9" s="11"/>
      <c r="N9" s="89"/>
      <c r="O9" s="89"/>
      <c r="P9" s="186"/>
      <c r="Q9" s="89"/>
      <c r="R9" s="89"/>
    </row>
    <row r="10" spans="1:18" ht="12.75">
      <c r="A10" s="281"/>
      <c r="B10" s="266"/>
      <c r="C10" s="268"/>
      <c r="D10" s="79">
        <v>7</v>
      </c>
      <c r="E10" s="5">
        <v>1122</v>
      </c>
      <c r="F10" s="5"/>
      <c r="G10" s="125" t="s">
        <v>5</v>
      </c>
      <c r="H10" s="149">
        <v>2500</v>
      </c>
      <c r="I10" s="98">
        <f>2500+118</f>
        <v>2618</v>
      </c>
      <c r="J10" s="98">
        <v>2500</v>
      </c>
      <c r="K10" s="98">
        <v>2500</v>
      </c>
      <c r="L10" s="11"/>
      <c r="N10" s="89"/>
      <c r="O10" s="89"/>
      <c r="P10" s="89"/>
      <c r="Q10" s="89"/>
      <c r="R10" s="89"/>
    </row>
    <row r="11" spans="1:18" ht="12.75">
      <c r="A11" s="281"/>
      <c r="B11" s="266"/>
      <c r="C11" s="268"/>
      <c r="D11" s="79">
        <v>8</v>
      </c>
      <c r="E11" s="53" t="s">
        <v>103</v>
      </c>
      <c r="F11" s="5"/>
      <c r="G11" s="124" t="s">
        <v>89</v>
      </c>
      <c r="H11" s="149">
        <v>4</v>
      </c>
      <c r="I11" s="98">
        <f>4+10+45</f>
        <v>59</v>
      </c>
      <c r="J11" s="96">
        <v>50</v>
      </c>
      <c r="K11" s="98">
        <v>50</v>
      </c>
      <c r="L11" s="11"/>
      <c r="N11" s="89"/>
      <c r="O11" s="89"/>
      <c r="P11" s="89"/>
      <c r="Q11" s="89"/>
      <c r="R11" s="89"/>
    </row>
    <row r="12" spans="1:18" ht="12.75">
      <c r="A12" s="281"/>
      <c r="B12" s="266"/>
      <c r="C12" s="268"/>
      <c r="D12" s="79">
        <v>9</v>
      </c>
      <c r="E12" s="5">
        <v>1340</v>
      </c>
      <c r="F12" s="5"/>
      <c r="G12" s="124" t="s">
        <v>6</v>
      </c>
      <c r="H12" s="149">
        <v>3200</v>
      </c>
      <c r="I12" s="98">
        <v>3200</v>
      </c>
      <c r="J12" s="98">
        <v>3200</v>
      </c>
      <c r="K12" s="98">
        <v>3200</v>
      </c>
      <c r="L12" s="11"/>
      <c r="N12" s="89"/>
      <c r="O12" s="89"/>
      <c r="P12" s="89"/>
      <c r="Q12" s="89"/>
      <c r="R12" s="89"/>
    </row>
    <row r="13" spans="1:12" ht="12.75">
      <c r="A13" s="281"/>
      <c r="B13" s="266"/>
      <c r="C13" s="268"/>
      <c r="D13" s="79">
        <v>10</v>
      </c>
      <c r="E13" s="5">
        <v>1341</v>
      </c>
      <c r="F13" s="5"/>
      <c r="G13" s="124" t="s">
        <v>7</v>
      </c>
      <c r="H13" s="149">
        <v>200</v>
      </c>
      <c r="I13" s="98">
        <v>200</v>
      </c>
      <c r="J13" s="98">
        <v>200</v>
      </c>
      <c r="K13" s="98">
        <v>200</v>
      </c>
      <c r="L13" s="11"/>
    </row>
    <row r="14" spans="1:12" ht="12.75" customHeight="1">
      <c r="A14" s="281"/>
      <c r="B14" s="266"/>
      <c r="C14" s="268"/>
      <c r="D14" s="79">
        <v>11</v>
      </c>
      <c r="E14" s="5">
        <v>1343</v>
      </c>
      <c r="F14" s="5"/>
      <c r="G14" s="124" t="s">
        <v>8</v>
      </c>
      <c r="H14" s="149">
        <v>2</v>
      </c>
      <c r="I14" s="98">
        <v>2</v>
      </c>
      <c r="J14" s="98">
        <v>2</v>
      </c>
      <c r="K14" s="98">
        <v>2</v>
      </c>
      <c r="L14" s="11"/>
    </row>
    <row r="15" spans="1:12" ht="12.75">
      <c r="A15" s="281"/>
      <c r="B15" s="266"/>
      <c r="C15" s="268"/>
      <c r="D15" s="79">
        <v>12</v>
      </c>
      <c r="E15" s="5">
        <v>1344</v>
      </c>
      <c r="F15" s="5"/>
      <c r="G15" s="124" t="s">
        <v>9</v>
      </c>
      <c r="H15" s="149">
        <v>2</v>
      </c>
      <c r="I15" s="98">
        <v>2</v>
      </c>
      <c r="J15" s="98">
        <v>2</v>
      </c>
      <c r="K15" s="98">
        <v>2</v>
      </c>
      <c r="L15" s="11"/>
    </row>
    <row r="16" spans="1:12" ht="12.75">
      <c r="A16" s="281"/>
      <c r="B16" s="266"/>
      <c r="C16" s="268"/>
      <c r="D16" s="79">
        <v>13</v>
      </c>
      <c r="E16" s="5">
        <v>1345</v>
      </c>
      <c r="F16" s="5"/>
      <c r="G16" s="124" t="s">
        <v>88</v>
      </c>
      <c r="H16" s="149">
        <v>40</v>
      </c>
      <c r="I16" s="98">
        <v>40</v>
      </c>
      <c r="J16" s="98">
        <v>40</v>
      </c>
      <c r="K16" s="98">
        <v>40</v>
      </c>
      <c r="L16" s="11"/>
    </row>
    <row r="17" spans="1:12" ht="12.75">
      <c r="A17" s="281"/>
      <c r="B17" s="266"/>
      <c r="C17" s="268"/>
      <c r="D17" s="79">
        <v>14</v>
      </c>
      <c r="E17" s="101" t="s">
        <v>186</v>
      </c>
      <c r="F17" s="5"/>
      <c r="G17" s="130" t="s">
        <v>185</v>
      </c>
      <c r="H17" s="149">
        <v>1800</v>
      </c>
      <c r="I17" s="98">
        <f>1800+500</f>
        <v>2300</v>
      </c>
      <c r="J17" s="96">
        <v>2300</v>
      </c>
      <c r="K17" s="96">
        <f>2300+700</f>
        <v>3000</v>
      </c>
      <c r="L17" s="11"/>
    </row>
    <row r="18" spans="1:12" ht="12.75">
      <c r="A18" s="281"/>
      <c r="B18" s="266"/>
      <c r="C18" s="268"/>
      <c r="D18" s="79">
        <v>15</v>
      </c>
      <c r="E18" s="101" t="s">
        <v>181</v>
      </c>
      <c r="F18" s="5"/>
      <c r="G18" s="124" t="s">
        <v>120</v>
      </c>
      <c r="H18" s="149">
        <v>200</v>
      </c>
      <c r="I18" s="98">
        <v>200</v>
      </c>
      <c r="J18" s="96">
        <v>0</v>
      </c>
      <c r="K18" s="98">
        <v>0</v>
      </c>
      <c r="L18" s="122"/>
    </row>
    <row r="19" spans="1:12" ht="12.75">
      <c r="A19" s="281"/>
      <c r="B19" s="266"/>
      <c r="C19" s="268"/>
      <c r="D19" s="79">
        <v>16</v>
      </c>
      <c r="E19" s="5">
        <v>1361</v>
      </c>
      <c r="F19" s="5"/>
      <c r="G19" s="124" t="s">
        <v>115</v>
      </c>
      <c r="H19" s="149">
        <v>500</v>
      </c>
      <c r="I19" s="98">
        <v>500</v>
      </c>
      <c r="J19" s="98">
        <v>500</v>
      </c>
      <c r="K19" s="98">
        <v>500</v>
      </c>
      <c r="L19" s="11"/>
    </row>
    <row r="20" spans="1:12" ht="12.75">
      <c r="A20" s="281"/>
      <c r="B20" s="266"/>
      <c r="C20" s="268"/>
      <c r="D20" s="79">
        <v>17</v>
      </c>
      <c r="E20" s="5">
        <v>1511</v>
      </c>
      <c r="F20" s="5"/>
      <c r="G20" s="126" t="s">
        <v>10</v>
      </c>
      <c r="H20" s="149">
        <v>8150</v>
      </c>
      <c r="I20" s="98">
        <v>8150</v>
      </c>
      <c r="J20" s="96">
        <v>8500</v>
      </c>
      <c r="K20" s="98">
        <v>8500</v>
      </c>
      <c r="L20" s="11"/>
    </row>
    <row r="21" spans="1:12" ht="12.75">
      <c r="A21" s="281"/>
      <c r="B21" s="266"/>
      <c r="C21" s="268"/>
      <c r="D21" s="196">
        <v>18</v>
      </c>
      <c r="E21" s="192"/>
      <c r="F21" s="192"/>
      <c r="G21" s="193" t="s">
        <v>28</v>
      </c>
      <c r="H21" s="194">
        <f>SUM(H4:H20)</f>
        <v>92598</v>
      </c>
      <c r="I21" s="195">
        <f>SUM(I4:I20)</f>
        <v>93271</v>
      </c>
      <c r="J21" s="195">
        <f>SUM(J4:J20)</f>
        <v>96294</v>
      </c>
      <c r="K21" s="195">
        <f>SUM(K4:K20)</f>
        <v>100994</v>
      </c>
      <c r="L21" s="11"/>
    </row>
    <row r="22" spans="1:12" ht="12.75">
      <c r="A22" s="281"/>
      <c r="B22" s="266"/>
      <c r="C22" s="267" t="s">
        <v>34</v>
      </c>
      <c r="D22" s="79">
        <v>19</v>
      </c>
      <c r="E22" s="5"/>
      <c r="F22" s="5">
        <v>1032</v>
      </c>
      <c r="G22" s="126" t="s">
        <v>107</v>
      </c>
      <c r="H22" s="151">
        <v>820</v>
      </c>
      <c r="I22" s="26">
        <v>820</v>
      </c>
      <c r="J22" s="96">
        <v>400</v>
      </c>
      <c r="K22" s="98">
        <v>400</v>
      </c>
      <c r="L22" s="94"/>
    </row>
    <row r="23" spans="1:12" ht="12.75">
      <c r="A23" s="281"/>
      <c r="B23" s="266"/>
      <c r="C23" s="268"/>
      <c r="D23" s="79">
        <v>20</v>
      </c>
      <c r="E23" s="5"/>
      <c r="F23" s="5"/>
      <c r="G23" s="127" t="s">
        <v>61</v>
      </c>
      <c r="H23" s="152">
        <f>SUM(H22)</f>
        <v>820</v>
      </c>
      <c r="I23" s="34">
        <f>SUM(I22)</f>
        <v>820</v>
      </c>
      <c r="J23" s="34">
        <f>SUM(J22)</f>
        <v>400</v>
      </c>
      <c r="K23" s="34">
        <f>SUM(K22)</f>
        <v>400</v>
      </c>
      <c r="L23" s="11"/>
    </row>
    <row r="24" spans="1:12" ht="12.75">
      <c r="A24" s="281"/>
      <c r="B24" s="266"/>
      <c r="C24" s="268"/>
      <c r="D24" s="79">
        <v>21</v>
      </c>
      <c r="E24" s="5">
        <v>2122</v>
      </c>
      <c r="F24" s="5" t="s">
        <v>40</v>
      </c>
      <c r="G24" s="139" t="s">
        <v>217</v>
      </c>
      <c r="H24" s="149">
        <f>172+481+362+792</f>
        <v>1807</v>
      </c>
      <c r="I24" s="96">
        <f>172+481+362+792+500+449</f>
        <v>2756</v>
      </c>
      <c r="J24" s="96">
        <v>1850</v>
      </c>
      <c r="K24" s="98">
        <v>1850</v>
      </c>
      <c r="L24" s="11"/>
    </row>
    <row r="25" spans="1:12" ht="12.75">
      <c r="A25" s="281"/>
      <c r="B25" s="266"/>
      <c r="C25" s="268"/>
      <c r="D25" s="79">
        <v>22</v>
      </c>
      <c r="E25" s="3">
        <v>2132</v>
      </c>
      <c r="F25" s="5">
        <v>3113.9</v>
      </c>
      <c r="G25" s="124" t="s">
        <v>85</v>
      </c>
      <c r="H25" s="151">
        <v>0</v>
      </c>
      <c r="I25" s="26">
        <v>0</v>
      </c>
      <c r="J25" s="26">
        <v>0</v>
      </c>
      <c r="K25" s="26">
        <v>0</v>
      </c>
      <c r="L25" s="11"/>
    </row>
    <row r="26" spans="1:12" ht="12.75">
      <c r="A26" s="281"/>
      <c r="B26" s="266"/>
      <c r="C26" s="268"/>
      <c r="D26" s="79">
        <v>23</v>
      </c>
      <c r="E26" s="3"/>
      <c r="F26" s="5"/>
      <c r="G26" s="124"/>
      <c r="H26" s="151"/>
      <c r="I26" s="26"/>
      <c r="J26" s="26"/>
      <c r="K26" s="26"/>
      <c r="L26" s="11"/>
    </row>
    <row r="27" spans="1:12" ht="12.75">
      <c r="A27" s="281"/>
      <c r="B27" s="266"/>
      <c r="C27" s="268"/>
      <c r="D27" s="79">
        <v>24</v>
      </c>
      <c r="E27" s="5"/>
      <c r="F27" s="5"/>
      <c r="G27" s="127" t="s">
        <v>11</v>
      </c>
      <c r="H27" s="153">
        <f>SUM(H24:H26)</f>
        <v>1807</v>
      </c>
      <c r="I27" s="35">
        <f>SUM(I24:I26)</f>
        <v>2756</v>
      </c>
      <c r="J27" s="35">
        <f>SUM(J24:J26)</f>
        <v>1850</v>
      </c>
      <c r="K27" s="35">
        <f>SUM(K24:K26)</f>
        <v>1850</v>
      </c>
      <c r="L27" s="11"/>
    </row>
    <row r="28" spans="1:12" ht="12.75">
      <c r="A28" s="281"/>
      <c r="B28" s="266"/>
      <c r="C28" s="268"/>
      <c r="D28" s="79">
        <v>25</v>
      </c>
      <c r="E28" s="5"/>
      <c r="F28" s="5">
        <v>3314</v>
      </c>
      <c r="G28" s="124" t="s">
        <v>82</v>
      </c>
      <c r="H28" s="151">
        <v>30</v>
      </c>
      <c r="I28" s="26">
        <v>30</v>
      </c>
      <c r="J28" s="26">
        <v>30</v>
      </c>
      <c r="K28" s="26">
        <v>30</v>
      </c>
      <c r="L28" s="11"/>
    </row>
    <row r="29" spans="1:12" ht="12.75">
      <c r="A29" s="281"/>
      <c r="B29" s="266"/>
      <c r="C29" s="268"/>
      <c r="D29" s="79">
        <v>26</v>
      </c>
      <c r="E29" s="5"/>
      <c r="F29" s="5">
        <v>3315</v>
      </c>
      <c r="G29" s="124" t="s">
        <v>159</v>
      </c>
      <c r="H29" s="151">
        <v>55</v>
      </c>
      <c r="I29" s="26">
        <v>55</v>
      </c>
      <c r="J29" s="26">
        <v>55</v>
      </c>
      <c r="K29" s="26">
        <v>55</v>
      </c>
      <c r="L29" s="11"/>
    </row>
    <row r="30" spans="1:12" ht="12.75">
      <c r="A30" s="281"/>
      <c r="B30" s="266"/>
      <c r="C30" s="268"/>
      <c r="D30" s="79">
        <v>27</v>
      </c>
      <c r="E30" s="5"/>
      <c r="F30" s="5">
        <v>3319</v>
      </c>
      <c r="G30" s="124" t="s">
        <v>116</v>
      </c>
      <c r="H30" s="149">
        <v>130</v>
      </c>
      <c r="I30" s="98">
        <v>130</v>
      </c>
      <c r="J30" s="98">
        <v>130</v>
      </c>
      <c r="K30" s="98">
        <v>130</v>
      </c>
      <c r="L30" s="11"/>
    </row>
    <row r="31" spans="1:12" ht="12.75">
      <c r="A31" s="281"/>
      <c r="B31" s="266"/>
      <c r="C31" s="268"/>
      <c r="D31" s="79">
        <v>28</v>
      </c>
      <c r="E31" s="5"/>
      <c r="F31" s="5">
        <v>3349</v>
      </c>
      <c r="G31" s="124" t="s">
        <v>12</v>
      </c>
      <c r="H31" s="154">
        <v>100</v>
      </c>
      <c r="I31" s="106">
        <v>100</v>
      </c>
      <c r="J31" s="106">
        <v>100</v>
      </c>
      <c r="K31" s="106">
        <v>100</v>
      </c>
      <c r="L31" s="11"/>
    </row>
    <row r="32" spans="1:12" ht="12.75">
      <c r="A32" s="281"/>
      <c r="B32" s="266"/>
      <c r="C32" s="268"/>
      <c r="D32" s="79">
        <v>29</v>
      </c>
      <c r="E32" s="5"/>
      <c r="F32" s="112">
        <v>3313.3392</v>
      </c>
      <c r="G32" s="124" t="s">
        <v>13</v>
      </c>
      <c r="H32" s="149">
        <v>815</v>
      </c>
      <c r="I32" s="98">
        <v>815</v>
      </c>
      <c r="J32" s="96">
        <v>915</v>
      </c>
      <c r="K32" s="98">
        <v>915</v>
      </c>
      <c r="L32" s="11"/>
    </row>
    <row r="33" spans="1:12" ht="12.75">
      <c r="A33" s="281"/>
      <c r="B33" s="266"/>
      <c r="C33" s="268"/>
      <c r="D33" s="79">
        <v>30</v>
      </c>
      <c r="E33" s="37"/>
      <c r="F33" s="5"/>
      <c r="G33" s="127" t="s">
        <v>14</v>
      </c>
      <c r="H33" s="152">
        <f>SUM(H28:H32)</f>
        <v>1130</v>
      </c>
      <c r="I33" s="152">
        <f>SUM(I28:I32)</f>
        <v>1130</v>
      </c>
      <c r="J33" s="152">
        <f>SUM(J28:J32)</f>
        <v>1230</v>
      </c>
      <c r="K33" s="152">
        <f>SUM(K28:K32)</f>
        <v>1230</v>
      </c>
      <c r="L33" s="11"/>
    </row>
    <row r="34" spans="1:12" ht="12.75">
      <c r="A34" s="281"/>
      <c r="B34" s="266"/>
      <c r="C34" s="268"/>
      <c r="D34" s="79">
        <v>31</v>
      </c>
      <c r="E34" s="5"/>
      <c r="F34" s="112" t="s">
        <v>227</v>
      </c>
      <c r="G34" s="208" t="s">
        <v>228</v>
      </c>
      <c r="H34" s="149">
        <v>0</v>
      </c>
      <c r="I34" s="96">
        <f>0+138+28</f>
        <v>166</v>
      </c>
      <c r="J34" s="98">
        <v>0</v>
      </c>
      <c r="K34" s="98">
        <v>0</v>
      </c>
      <c r="L34" s="11"/>
    </row>
    <row r="35" spans="1:13" ht="12.75">
      <c r="A35" s="281"/>
      <c r="B35" s="266"/>
      <c r="C35" s="268"/>
      <c r="D35" s="79">
        <v>32</v>
      </c>
      <c r="E35" s="5"/>
      <c r="F35" s="112" t="s">
        <v>221</v>
      </c>
      <c r="G35" s="208" t="s">
        <v>222</v>
      </c>
      <c r="H35" s="253">
        <v>11273</v>
      </c>
      <c r="I35" s="253">
        <v>11273</v>
      </c>
      <c r="J35" s="258">
        <v>12935</v>
      </c>
      <c r="K35" s="260">
        <v>12935</v>
      </c>
      <c r="L35" s="11"/>
      <c r="M35" s="287"/>
    </row>
    <row r="36" spans="1:13" ht="12.75">
      <c r="A36" s="281"/>
      <c r="B36" s="266"/>
      <c r="C36" s="268"/>
      <c r="D36" s="79">
        <v>33</v>
      </c>
      <c r="E36" s="5"/>
      <c r="F36" s="5">
        <v>3612</v>
      </c>
      <c r="G36" s="129" t="s">
        <v>175</v>
      </c>
      <c r="H36" s="254"/>
      <c r="I36" s="254"/>
      <c r="J36" s="259"/>
      <c r="K36" s="261"/>
      <c r="L36" s="11"/>
      <c r="M36" s="287"/>
    </row>
    <row r="37" spans="1:13" ht="12.75">
      <c r="A37" s="281"/>
      <c r="B37" s="266"/>
      <c r="C37" s="268"/>
      <c r="D37" s="79">
        <v>34</v>
      </c>
      <c r="E37" s="5"/>
      <c r="F37" s="5">
        <v>3612</v>
      </c>
      <c r="G37" s="129" t="s">
        <v>174</v>
      </c>
      <c r="H37" s="255"/>
      <c r="I37" s="255"/>
      <c r="J37" s="252"/>
      <c r="K37" s="257"/>
      <c r="L37" s="11"/>
      <c r="M37" s="287"/>
    </row>
    <row r="38" spans="1:12" ht="12.75">
      <c r="A38" s="281"/>
      <c r="B38" s="266"/>
      <c r="C38" s="268"/>
      <c r="D38" s="79">
        <v>35</v>
      </c>
      <c r="E38" s="5"/>
      <c r="F38" s="5">
        <v>3632</v>
      </c>
      <c r="G38" s="124" t="s">
        <v>15</v>
      </c>
      <c r="H38" s="151">
        <v>100</v>
      </c>
      <c r="I38" s="26">
        <v>100</v>
      </c>
      <c r="J38" s="26">
        <v>100</v>
      </c>
      <c r="K38" s="26">
        <v>100</v>
      </c>
      <c r="L38" s="11"/>
    </row>
    <row r="39" spans="1:12" ht="12.75">
      <c r="A39" s="281"/>
      <c r="B39" s="266"/>
      <c r="C39" s="268"/>
      <c r="D39" s="79">
        <v>36</v>
      </c>
      <c r="E39" s="5"/>
      <c r="F39" s="5">
        <v>3639</v>
      </c>
      <c r="G39" s="124" t="s">
        <v>91</v>
      </c>
      <c r="H39" s="151">
        <v>50</v>
      </c>
      <c r="I39" s="26">
        <v>50</v>
      </c>
      <c r="J39" s="26">
        <v>50</v>
      </c>
      <c r="K39" s="26">
        <v>50</v>
      </c>
      <c r="L39" s="11"/>
    </row>
    <row r="40" spans="1:12" ht="12.75">
      <c r="A40" s="281"/>
      <c r="B40" s="266"/>
      <c r="C40" s="268"/>
      <c r="D40" s="79">
        <v>37</v>
      </c>
      <c r="E40" s="5"/>
      <c r="F40" s="5">
        <v>3639</v>
      </c>
      <c r="G40" s="124" t="s">
        <v>78</v>
      </c>
      <c r="H40" s="155">
        <v>1350</v>
      </c>
      <c r="I40" s="30">
        <v>1350</v>
      </c>
      <c r="J40" s="30">
        <v>1350</v>
      </c>
      <c r="K40" s="30">
        <v>1350</v>
      </c>
      <c r="L40" s="11"/>
    </row>
    <row r="41" spans="1:12" ht="12.75">
      <c r="A41" s="281"/>
      <c r="B41" s="266"/>
      <c r="C41" s="268"/>
      <c r="D41" s="79">
        <v>38</v>
      </c>
      <c r="E41" s="5"/>
      <c r="F41" s="112" t="s">
        <v>157</v>
      </c>
      <c r="G41" s="124" t="s">
        <v>79</v>
      </c>
      <c r="H41" s="155">
        <v>400</v>
      </c>
      <c r="I41" s="30">
        <v>400</v>
      </c>
      <c r="J41" s="30">
        <v>400</v>
      </c>
      <c r="K41" s="30">
        <v>400</v>
      </c>
      <c r="L41" s="11"/>
    </row>
    <row r="42" spans="1:12" ht="12.75">
      <c r="A42" s="281"/>
      <c r="B42" s="266"/>
      <c r="C42" s="268"/>
      <c r="D42" s="79">
        <v>39</v>
      </c>
      <c r="E42" s="5"/>
      <c r="F42" s="5" t="s">
        <v>158</v>
      </c>
      <c r="G42" s="124" t="s">
        <v>105</v>
      </c>
      <c r="H42" s="151">
        <v>350</v>
      </c>
      <c r="I42" s="26">
        <v>350</v>
      </c>
      <c r="J42" s="26">
        <v>350</v>
      </c>
      <c r="K42" s="96">
        <f>350+250</f>
        <v>600</v>
      </c>
      <c r="L42" s="11"/>
    </row>
    <row r="43" spans="1:12" ht="12.75">
      <c r="A43" s="281"/>
      <c r="B43" s="266"/>
      <c r="C43" s="268"/>
      <c r="D43" s="79">
        <v>40</v>
      </c>
      <c r="E43" s="5"/>
      <c r="F43" s="5"/>
      <c r="G43" s="127" t="s">
        <v>16</v>
      </c>
      <c r="H43" s="152">
        <f>SUM(H34:H42)</f>
        <v>13523</v>
      </c>
      <c r="I43" s="152">
        <f>SUM(I34:I42)</f>
        <v>13689</v>
      </c>
      <c r="J43" s="152">
        <f>SUM(J34:J42)</f>
        <v>15185</v>
      </c>
      <c r="K43" s="152">
        <f>SUM(K34:K42)</f>
        <v>15435</v>
      </c>
      <c r="L43" s="11"/>
    </row>
    <row r="44" spans="1:12" ht="12.75">
      <c r="A44" s="281"/>
      <c r="B44" s="266"/>
      <c r="C44" s="268"/>
      <c r="D44" s="79">
        <v>41</v>
      </c>
      <c r="E44" s="5">
        <v>2212</v>
      </c>
      <c r="F44" s="5">
        <v>5311</v>
      </c>
      <c r="G44" s="124" t="s">
        <v>17</v>
      </c>
      <c r="H44" s="149">
        <v>60</v>
      </c>
      <c r="I44" s="98">
        <v>60</v>
      </c>
      <c r="J44" s="98">
        <v>60</v>
      </c>
      <c r="K44" s="98">
        <v>60</v>
      </c>
      <c r="L44" s="11"/>
    </row>
    <row r="45" spans="1:12" ht="12.75">
      <c r="A45" s="281"/>
      <c r="B45" s="266"/>
      <c r="C45" s="268"/>
      <c r="D45" s="79">
        <v>42</v>
      </c>
      <c r="E45" s="5">
        <v>2212</v>
      </c>
      <c r="F45" s="112" t="s">
        <v>230</v>
      </c>
      <c r="G45" s="215" t="s">
        <v>231</v>
      </c>
      <c r="H45" s="149">
        <v>40</v>
      </c>
      <c r="I45" s="96">
        <f>40+168</f>
        <v>208</v>
      </c>
      <c r="J45" s="98">
        <v>40</v>
      </c>
      <c r="K45" s="98">
        <v>40</v>
      </c>
      <c r="L45" s="11"/>
    </row>
    <row r="46" spans="1:12" ht="12.75">
      <c r="A46" s="281"/>
      <c r="B46" s="266"/>
      <c r="C46" s="268"/>
      <c r="D46" s="79">
        <v>43</v>
      </c>
      <c r="E46" s="5">
        <v>2111</v>
      </c>
      <c r="F46" s="5">
        <v>6171</v>
      </c>
      <c r="G46" s="124" t="s">
        <v>160</v>
      </c>
      <c r="H46" s="151">
        <v>30</v>
      </c>
      <c r="I46" s="26">
        <v>30</v>
      </c>
      <c r="J46" s="26">
        <v>30</v>
      </c>
      <c r="K46" s="26">
        <v>30</v>
      </c>
      <c r="L46" s="11"/>
    </row>
    <row r="47" spans="1:12" ht="12.75">
      <c r="A47" s="281"/>
      <c r="B47" s="266"/>
      <c r="C47" s="268"/>
      <c r="D47" s="79">
        <v>44</v>
      </c>
      <c r="E47" s="5"/>
      <c r="F47" s="5"/>
      <c r="G47" s="127" t="s">
        <v>18</v>
      </c>
      <c r="H47" s="152">
        <f>SUM(H44:H46)</f>
        <v>130</v>
      </c>
      <c r="I47" s="34">
        <f>SUM(I44:I46)</f>
        <v>298</v>
      </c>
      <c r="J47" s="34">
        <f>SUM(J44:J46)</f>
        <v>130</v>
      </c>
      <c r="K47" s="34">
        <f>SUM(K44:K46)</f>
        <v>130</v>
      </c>
      <c r="L47" s="11"/>
    </row>
    <row r="48" spans="1:12" ht="12.75">
      <c r="A48" s="281"/>
      <c r="B48" s="266"/>
      <c r="C48" s="268"/>
      <c r="D48" s="79">
        <v>45</v>
      </c>
      <c r="E48" s="5">
        <v>2111</v>
      </c>
      <c r="F48" s="5">
        <v>4351</v>
      </c>
      <c r="G48" s="126" t="s">
        <v>86</v>
      </c>
      <c r="H48" s="149">
        <v>300</v>
      </c>
      <c r="I48" s="98">
        <v>300</v>
      </c>
      <c r="J48" s="98">
        <v>300</v>
      </c>
      <c r="K48" s="98">
        <v>300</v>
      </c>
      <c r="L48" s="11"/>
    </row>
    <row r="49" spans="1:12" ht="12.75">
      <c r="A49" s="281"/>
      <c r="B49" s="266"/>
      <c r="C49" s="268"/>
      <c r="D49" s="79">
        <v>46</v>
      </c>
      <c r="E49" s="5"/>
      <c r="F49" s="5">
        <v>5512</v>
      </c>
      <c r="G49" s="124" t="s">
        <v>135</v>
      </c>
      <c r="H49" s="149">
        <v>30</v>
      </c>
      <c r="I49" s="98">
        <v>30</v>
      </c>
      <c r="J49" s="98">
        <v>30</v>
      </c>
      <c r="K49" s="98">
        <v>30</v>
      </c>
      <c r="L49" s="11"/>
    </row>
    <row r="50" spans="1:12" ht="12.75">
      <c r="A50" s="281"/>
      <c r="B50" s="266"/>
      <c r="C50" s="268"/>
      <c r="D50" s="79">
        <v>47</v>
      </c>
      <c r="E50" s="5">
        <v>2141</v>
      </c>
      <c r="F50" s="5">
        <v>6310</v>
      </c>
      <c r="G50" s="124" t="s">
        <v>94</v>
      </c>
      <c r="H50" s="149">
        <v>15</v>
      </c>
      <c r="I50" s="98">
        <f>15+50</f>
        <v>65</v>
      </c>
      <c r="J50" s="96">
        <f>15+50</f>
        <v>65</v>
      </c>
      <c r="K50" s="98">
        <f>15+50</f>
        <v>65</v>
      </c>
      <c r="L50" s="11"/>
    </row>
    <row r="51" spans="1:14" ht="12.75">
      <c r="A51" s="281"/>
      <c r="B51" s="266"/>
      <c r="C51" s="268"/>
      <c r="D51" s="79">
        <v>48</v>
      </c>
      <c r="E51" s="5">
        <v>2322</v>
      </c>
      <c r="F51" s="112" t="s">
        <v>142</v>
      </c>
      <c r="G51" s="124" t="s">
        <v>111</v>
      </c>
      <c r="H51" s="149">
        <v>0</v>
      </c>
      <c r="I51" s="98">
        <v>65</v>
      </c>
      <c r="J51" s="98">
        <v>0</v>
      </c>
      <c r="K51" s="98">
        <v>0</v>
      </c>
      <c r="L51" s="94"/>
      <c r="N51" s="94"/>
    </row>
    <row r="52" spans="1:12" ht="12.75">
      <c r="A52" s="281"/>
      <c r="B52" s="266"/>
      <c r="C52" s="268"/>
      <c r="D52" s="79">
        <v>49</v>
      </c>
      <c r="E52" s="112" t="s">
        <v>155</v>
      </c>
      <c r="F52" s="101">
        <v>6171</v>
      </c>
      <c r="G52" s="130" t="s">
        <v>144</v>
      </c>
      <c r="H52" s="149">
        <v>0</v>
      </c>
      <c r="I52" s="98">
        <v>0</v>
      </c>
      <c r="J52" s="98">
        <v>0</v>
      </c>
      <c r="K52" s="98">
        <v>0</v>
      </c>
      <c r="L52" s="11"/>
    </row>
    <row r="53" spans="1:12" ht="12.75">
      <c r="A53" s="281"/>
      <c r="B53" s="266"/>
      <c r="C53" s="268"/>
      <c r="D53" s="79">
        <v>50</v>
      </c>
      <c r="E53" s="101">
        <v>2329</v>
      </c>
      <c r="F53" s="101">
        <v>3639</v>
      </c>
      <c r="G53" s="130" t="s">
        <v>218</v>
      </c>
      <c r="H53" s="151">
        <v>0</v>
      </c>
      <c r="I53" s="98">
        <f>450+121</f>
        <v>571</v>
      </c>
      <c r="J53" s="98">
        <v>0</v>
      </c>
      <c r="K53" s="98">
        <v>0</v>
      </c>
      <c r="L53" s="11"/>
    </row>
    <row r="54" spans="1:12" ht="12.75">
      <c r="A54" s="281"/>
      <c r="B54" s="266"/>
      <c r="C54" s="268"/>
      <c r="D54" s="79">
        <v>51</v>
      </c>
      <c r="E54" s="53" t="s">
        <v>156</v>
      </c>
      <c r="F54" s="5">
        <v>6171</v>
      </c>
      <c r="G54" s="124" t="s">
        <v>136</v>
      </c>
      <c r="H54" s="151">
        <v>150</v>
      </c>
      <c r="I54" s="26">
        <v>150</v>
      </c>
      <c r="J54" s="26">
        <v>150</v>
      </c>
      <c r="K54" s="26">
        <v>150</v>
      </c>
      <c r="L54" s="11"/>
    </row>
    <row r="55" spans="1:12" ht="12.75">
      <c r="A55" s="281"/>
      <c r="B55" s="266"/>
      <c r="C55" s="268"/>
      <c r="D55" s="79">
        <v>52</v>
      </c>
      <c r="E55" s="3">
        <v>2324</v>
      </c>
      <c r="F55" s="3">
        <v>3639</v>
      </c>
      <c r="G55" s="126" t="s">
        <v>190</v>
      </c>
      <c r="H55" s="149">
        <v>500</v>
      </c>
      <c r="I55" s="98">
        <v>500</v>
      </c>
      <c r="J55" s="98">
        <v>500</v>
      </c>
      <c r="K55" s="98">
        <v>500</v>
      </c>
      <c r="L55" s="11"/>
    </row>
    <row r="56" spans="1:12" ht="12.75">
      <c r="A56" s="281"/>
      <c r="B56" s="266"/>
      <c r="C56" s="268"/>
      <c r="D56" s="79">
        <v>53</v>
      </c>
      <c r="E56" s="5">
        <v>2229</v>
      </c>
      <c r="F56" s="112" t="s">
        <v>235</v>
      </c>
      <c r="G56" s="124" t="s">
        <v>196</v>
      </c>
      <c r="H56" s="149">
        <v>0</v>
      </c>
      <c r="I56" s="98">
        <v>0</v>
      </c>
      <c r="J56" s="98">
        <v>0</v>
      </c>
      <c r="K56" s="98">
        <v>0</v>
      </c>
      <c r="L56" s="11"/>
    </row>
    <row r="57" spans="1:12" ht="12.75">
      <c r="A57" s="281"/>
      <c r="B57" s="266"/>
      <c r="C57" s="268"/>
      <c r="D57" s="79">
        <v>54</v>
      </c>
      <c r="E57" s="5"/>
      <c r="F57" s="5"/>
      <c r="G57" s="127" t="s">
        <v>19</v>
      </c>
      <c r="H57" s="152">
        <f>SUM(H48:H56)</f>
        <v>995</v>
      </c>
      <c r="I57" s="34">
        <f>SUM(I48:I56)</f>
        <v>1681</v>
      </c>
      <c r="J57" s="34">
        <f>SUM(J48:J56)</f>
        <v>1045</v>
      </c>
      <c r="K57" s="34">
        <f>SUM(K48:K56)</f>
        <v>1045</v>
      </c>
      <c r="L57" s="11"/>
    </row>
    <row r="58" spans="1:12" ht="12.75">
      <c r="A58" s="281"/>
      <c r="B58" s="266"/>
      <c r="C58" s="268"/>
      <c r="D58" s="196">
        <v>55</v>
      </c>
      <c r="E58" s="192"/>
      <c r="F58" s="192"/>
      <c r="G58" s="193" t="s">
        <v>20</v>
      </c>
      <c r="H58" s="194">
        <f>H23+H27+H33+H43+H47+H57</f>
        <v>18405</v>
      </c>
      <c r="I58" s="194">
        <f>I23+I27+I33+I43+I47+I57</f>
        <v>20374</v>
      </c>
      <c r="J58" s="194">
        <f>J23+J27+J33+J43+J47+J57</f>
        <v>19840</v>
      </c>
      <c r="K58" s="194">
        <f>K23+K27+K33+K43+K47+K57</f>
        <v>20090</v>
      </c>
      <c r="L58" s="11"/>
    </row>
    <row r="59" spans="1:12" ht="12.75">
      <c r="A59" s="281"/>
      <c r="B59" s="266"/>
      <c r="C59" s="268"/>
      <c r="D59" s="196">
        <v>56</v>
      </c>
      <c r="E59" s="192"/>
      <c r="F59" s="192"/>
      <c r="G59" s="193" t="s">
        <v>25</v>
      </c>
      <c r="H59" s="194">
        <f>H21+H58</f>
        <v>111003</v>
      </c>
      <c r="I59" s="195">
        <f>I21+I58</f>
        <v>113645</v>
      </c>
      <c r="J59" s="195">
        <f>J21+J58</f>
        <v>116134</v>
      </c>
      <c r="K59" s="195">
        <f>K21+K58</f>
        <v>121084</v>
      </c>
      <c r="L59" s="11"/>
    </row>
    <row r="60" spans="1:12" ht="12.75" customHeight="1">
      <c r="A60" s="281"/>
      <c r="B60" s="269" t="s">
        <v>21</v>
      </c>
      <c r="C60" s="276"/>
      <c r="D60" s="79">
        <v>57</v>
      </c>
      <c r="E60" s="5">
        <v>3111</v>
      </c>
      <c r="F60" s="6">
        <v>3639</v>
      </c>
      <c r="G60" s="126" t="s">
        <v>99</v>
      </c>
      <c r="H60" s="151">
        <v>200</v>
      </c>
      <c r="I60" s="98">
        <f>200+50</f>
        <v>250</v>
      </c>
      <c r="J60" s="98">
        <v>200</v>
      </c>
      <c r="K60" s="98">
        <v>200</v>
      </c>
      <c r="L60" s="11"/>
    </row>
    <row r="61" spans="1:12" ht="12.75" customHeight="1">
      <c r="A61" s="281"/>
      <c r="B61" s="277"/>
      <c r="C61" s="276"/>
      <c r="D61" s="79">
        <v>58</v>
      </c>
      <c r="E61" s="5">
        <v>3112</v>
      </c>
      <c r="F61" s="6">
        <v>3639</v>
      </c>
      <c r="G61" s="125" t="s">
        <v>129</v>
      </c>
      <c r="H61" s="151">
        <v>0</v>
      </c>
      <c r="I61" s="26">
        <v>0</v>
      </c>
      <c r="J61" s="26">
        <v>0</v>
      </c>
      <c r="K61" s="26">
        <v>0</v>
      </c>
      <c r="L61" s="11"/>
    </row>
    <row r="62" spans="1:12" ht="12.75" customHeight="1">
      <c r="A62" s="281"/>
      <c r="B62" s="277"/>
      <c r="C62" s="276"/>
      <c r="D62" s="79">
        <v>59</v>
      </c>
      <c r="E62" s="5">
        <v>3121</v>
      </c>
      <c r="F62" s="6"/>
      <c r="G62" s="125" t="s">
        <v>126</v>
      </c>
      <c r="H62" s="151">
        <v>0</v>
      </c>
      <c r="I62" s="26">
        <v>0</v>
      </c>
      <c r="J62" s="26">
        <v>0</v>
      </c>
      <c r="K62" s="26">
        <v>0</v>
      </c>
      <c r="L62" s="11"/>
    </row>
    <row r="63" spans="1:12" ht="12.75" customHeight="1">
      <c r="A63" s="281"/>
      <c r="B63" s="277"/>
      <c r="C63" s="276"/>
      <c r="D63" s="79">
        <v>60</v>
      </c>
      <c r="E63" s="5">
        <v>3202</v>
      </c>
      <c r="F63" s="6"/>
      <c r="G63" s="125" t="s">
        <v>187</v>
      </c>
      <c r="H63" s="149">
        <v>0</v>
      </c>
      <c r="I63" s="98">
        <f>428+572</f>
        <v>1000</v>
      </c>
      <c r="J63" s="98">
        <v>0</v>
      </c>
      <c r="K63" s="98">
        <v>0</v>
      </c>
      <c r="L63" s="11"/>
    </row>
    <row r="64" spans="1:12" ht="12.75" customHeight="1">
      <c r="A64" s="281"/>
      <c r="B64" s="277"/>
      <c r="C64" s="276"/>
      <c r="D64" s="79">
        <v>61</v>
      </c>
      <c r="E64" s="5">
        <v>3122</v>
      </c>
      <c r="F64" s="6"/>
      <c r="G64" s="125" t="s">
        <v>127</v>
      </c>
      <c r="H64" s="151">
        <v>0</v>
      </c>
      <c r="I64" s="26">
        <v>0</v>
      </c>
      <c r="J64" s="26">
        <v>0</v>
      </c>
      <c r="K64" s="26">
        <v>0</v>
      </c>
      <c r="L64" s="11"/>
    </row>
    <row r="65" spans="1:12" ht="12.75" customHeight="1">
      <c r="A65" s="281"/>
      <c r="B65" s="277"/>
      <c r="C65" s="276"/>
      <c r="D65" s="196">
        <v>62</v>
      </c>
      <c r="E65" s="192"/>
      <c r="F65" s="192"/>
      <c r="G65" s="193" t="s">
        <v>26</v>
      </c>
      <c r="H65" s="194">
        <f>SUM(H60:H64)</f>
        <v>200</v>
      </c>
      <c r="I65" s="195">
        <f>SUM(I60:I64)</f>
        <v>1250</v>
      </c>
      <c r="J65" s="195">
        <f>SUM(J60:J64)</f>
        <v>200</v>
      </c>
      <c r="K65" s="195">
        <f>SUM(K60:K64)</f>
        <v>200</v>
      </c>
      <c r="L65" s="11"/>
    </row>
    <row r="66" spans="1:12" ht="12.75" customHeight="1" thickBot="1">
      <c r="A66" s="282"/>
      <c r="B66" s="278"/>
      <c r="C66" s="279"/>
      <c r="D66" s="80">
        <v>63</v>
      </c>
      <c r="E66" s="9"/>
      <c r="F66" s="10"/>
      <c r="G66" s="131" t="s">
        <v>62</v>
      </c>
      <c r="H66" s="156">
        <f>H59+H65</f>
        <v>111203</v>
      </c>
      <c r="I66" s="28">
        <f>I59+I65</f>
        <v>114895</v>
      </c>
      <c r="J66" s="28">
        <f>J59+J65</f>
        <v>116334</v>
      </c>
      <c r="K66" s="28">
        <f>K59+K65</f>
        <v>121284</v>
      </c>
      <c r="L66" s="11"/>
    </row>
    <row r="67" spans="1:12" ht="12.75" customHeight="1">
      <c r="A67" s="262" t="s">
        <v>24</v>
      </c>
      <c r="B67" s="265" t="s">
        <v>29</v>
      </c>
      <c r="C67" s="273"/>
      <c r="D67" s="78">
        <v>64</v>
      </c>
      <c r="E67" s="138">
        <v>4111</v>
      </c>
      <c r="F67" s="138" t="s">
        <v>225</v>
      </c>
      <c r="G67" s="221" t="s">
        <v>226</v>
      </c>
      <c r="H67" s="187">
        <v>0</v>
      </c>
      <c r="I67" s="209">
        <v>24</v>
      </c>
      <c r="J67" s="141">
        <v>0</v>
      </c>
      <c r="K67" s="141">
        <v>0</v>
      </c>
      <c r="L67" s="11"/>
    </row>
    <row r="68" spans="1:12" ht="12.75">
      <c r="A68" s="263"/>
      <c r="B68" s="274"/>
      <c r="C68" s="275"/>
      <c r="D68" s="79">
        <v>65</v>
      </c>
      <c r="E68" s="101">
        <v>4112</v>
      </c>
      <c r="F68" s="101"/>
      <c r="G68" s="139" t="s">
        <v>176</v>
      </c>
      <c r="H68" s="188">
        <f>5323+359</f>
        <v>5682</v>
      </c>
      <c r="I68" s="201">
        <f>5323+359</f>
        <v>5682</v>
      </c>
      <c r="J68" s="120">
        <f>5323+359</f>
        <v>5682</v>
      </c>
      <c r="K68" s="189">
        <f>5323+359-155</f>
        <v>5527</v>
      </c>
      <c r="L68" s="11"/>
    </row>
    <row r="69" spans="1:12" ht="12.75">
      <c r="A69" s="263"/>
      <c r="B69" s="274"/>
      <c r="C69" s="275"/>
      <c r="D69" s="79">
        <v>66</v>
      </c>
      <c r="E69" s="101">
        <v>4116</v>
      </c>
      <c r="F69" s="101">
        <v>3742</v>
      </c>
      <c r="G69" s="139" t="s">
        <v>141</v>
      </c>
      <c r="H69" s="155">
        <v>0</v>
      </c>
      <c r="I69" s="30">
        <v>0</v>
      </c>
      <c r="J69" s="30">
        <v>0</v>
      </c>
      <c r="K69" s="30">
        <v>0</v>
      </c>
      <c r="L69" s="11"/>
    </row>
    <row r="70" spans="1:12" ht="12.75">
      <c r="A70" s="263"/>
      <c r="B70" s="274"/>
      <c r="C70" s="275"/>
      <c r="D70" s="79">
        <v>67</v>
      </c>
      <c r="E70" s="101">
        <v>4116.22</v>
      </c>
      <c r="F70" s="101"/>
      <c r="G70" s="136" t="s">
        <v>128</v>
      </c>
      <c r="H70" s="157">
        <v>600</v>
      </c>
      <c r="I70" s="120">
        <v>600</v>
      </c>
      <c r="J70" s="120">
        <v>600</v>
      </c>
      <c r="K70" s="120">
        <v>600</v>
      </c>
      <c r="L70" s="11"/>
    </row>
    <row r="71" spans="1:12" ht="12.75">
      <c r="A71" s="263"/>
      <c r="B71" s="274"/>
      <c r="C71" s="275"/>
      <c r="D71" s="79">
        <v>68</v>
      </c>
      <c r="E71" s="101">
        <v>4116</v>
      </c>
      <c r="F71" s="101"/>
      <c r="G71" s="136" t="s">
        <v>109</v>
      </c>
      <c r="H71" s="149">
        <v>2500</v>
      </c>
      <c r="I71" s="98">
        <v>2500</v>
      </c>
      <c r="J71" s="98">
        <v>2500</v>
      </c>
      <c r="K71" s="98">
        <v>2500</v>
      </c>
      <c r="L71" s="11"/>
    </row>
    <row r="72" spans="1:12" ht="12.75">
      <c r="A72" s="263"/>
      <c r="B72" s="274"/>
      <c r="C72" s="275"/>
      <c r="D72" s="79">
        <v>69</v>
      </c>
      <c r="E72" s="101">
        <v>4111</v>
      </c>
      <c r="F72" s="101" t="s">
        <v>216</v>
      </c>
      <c r="G72" s="136" t="s">
        <v>219</v>
      </c>
      <c r="H72" s="149">
        <v>0</v>
      </c>
      <c r="I72" s="98">
        <v>180</v>
      </c>
      <c r="J72" s="98">
        <v>0</v>
      </c>
      <c r="K72" s="98">
        <v>0</v>
      </c>
      <c r="L72" s="11"/>
    </row>
    <row r="73" spans="1:12" ht="12.75">
      <c r="A73" s="263"/>
      <c r="B73" s="274"/>
      <c r="C73" s="275"/>
      <c r="D73" s="79">
        <v>70</v>
      </c>
      <c r="E73" s="101">
        <v>4121</v>
      </c>
      <c r="F73" s="101"/>
      <c r="G73" s="136" t="s">
        <v>161</v>
      </c>
      <c r="H73" s="149">
        <v>848</v>
      </c>
      <c r="I73" s="98">
        <v>848</v>
      </c>
      <c r="J73" s="96">
        <v>867</v>
      </c>
      <c r="K73" s="98">
        <v>867</v>
      </c>
      <c r="L73" s="11"/>
    </row>
    <row r="74" spans="1:12" ht="12.75">
      <c r="A74" s="263"/>
      <c r="B74" s="274"/>
      <c r="C74" s="275"/>
      <c r="D74" s="79">
        <v>71</v>
      </c>
      <c r="E74" s="101">
        <v>4116</v>
      </c>
      <c r="F74" s="140" t="s">
        <v>204</v>
      </c>
      <c r="G74" s="136" t="s">
        <v>203</v>
      </c>
      <c r="H74" s="149">
        <v>0</v>
      </c>
      <c r="I74" s="98">
        <f>6</f>
        <v>6</v>
      </c>
      <c r="J74" s="98">
        <v>0</v>
      </c>
      <c r="K74" s="98">
        <v>0</v>
      </c>
      <c r="L74" s="11"/>
    </row>
    <row r="75" spans="1:12" ht="12.75">
      <c r="A75" s="263"/>
      <c r="B75" s="274"/>
      <c r="C75" s="275"/>
      <c r="D75" s="79">
        <v>72</v>
      </c>
      <c r="E75" s="101">
        <v>4122</v>
      </c>
      <c r="F75" s="101" t="s">
        <v>202</v>
      </c>
      <c r="G75" s="136" t="s">
        <v>169</v>
      </c>
      <c r="H75" s="149">
        <v>0</v>
      </c>
      <c r="I75" s="96">
        <f>0+173</f>
        <v>173</v>
      </c>
      <c r="J75" s="98">
        <v>0</v>
      </c>
      <c r="K75" s="98">
        <v>0</v>
      </c>
      <c r="L75" s="11"/>
    </row>
    <row r="76" spans="1:12" ht="12.75">
      <c r="A76" s="263"/>
      <c r="B76" s="274"/>
      <c r="C76" s="275"/>
      <c r="D76" s="79">
        <v>73</v>
      </c>
      <c r="E76" s="101">
        <v>4122</v>
      </c>
      <c r="F76" s="101"/>
      <c r="G76" s="136" t="s">
        <v>166</v>
      </c>
      <c r="H76" s="149">
        <v>0</v>
      </c>
      <c r="I76" s="98">
        <v>0</v>
      </c>
      <c r="J76" s="98">
        <v>0</v>
      </c>
      <c r="K76" s="98">
        <v>0</v>
      </c>
      <c r="L76" s="11"/>
    </row>
    <row r="77" spans="1:12" ht="12.75">
      <c r="A77" s="263"/>
      <c r="B77" s="274"/>
      <c r="C77" s="275"/>
      <c r="D77" s="79">
        <v>74</v>
      </c>
      <c r="E77" s="101">
        <v>4122</v>
      </c>
      <c r="F77" s="101"/>
      <c r="G77" s="136" t="s">
        <v>223</v>
      </c>
      <c r="H77" s="149">
        <v>0</v>
      </c>
      <c r="I77" s="98">
        <f>9+19+71</f>
        <v>99</v>
      </c>
      <c r="J77" s="98">
        <v>0</v>
      </c>
      <c r="K77" s="98">
        <v>0</v>
      </c>
      <c r="L77" s="11"/>
    </row>
    <row r="78" spans="1:12" ht="12.75">
      <c r="A78" s="263"/>
      <c r="B78" s="274"/>
      <c r="C78" s="275"/>
      <c r="D78" s="79">
        <v>75</v>
      </c>
      <c r="E78" s="101">
        <v>4116</v>
      </c>
      <c r="F78" s="101" t="s">
        <v>182</v>
      </c>
      <c r="G78" s="136" t="s">
        <v>183</v>
      </c>
      <c r="H78" s="149">
        <v>0</v>
      </c>
      <c r="I78" s="98">
        <f>0+1030</f>
        <v>1030</v>
      </c>
      <c r="J78" s="98">
        <v>0</v>
      </c>
      <c r="K78" s="98">
        <v>0</v>
      </c>
      <c r="L78" s="11"/>
    </row>
    <row r="79" spans="1:12" ht="12.75">
      <c r="A79" s="263"/>
      <c r="B79" s="274"/>
      <c r="C79" s="275"/>
      <c r="D79" s="196">
        <v>76</v>
      </c>
      <c r="E79" s="197"/>
      <c r="F79" s="197"/>
      <c r="G79" s="198" t="s">
        <v>22</v>
      </c>
      <c r="H79" s="194">
        <f>SUM(H67:H78)</f>
        <v>9630</v>
      </c>
      <c r="I79" s="195">
        <f>SUM(I67:I78)</f>
        <v>11142</v>
      </c>
      <c r="J79" s="195">
        <f>SUM(J67:J78)</f>
        <v>9649</v>
      </c>
      <c r="K79" s="195">
        <f>SUM(K67:K78)</f>
        <v>9494</v>
      </c>
      <c r="L79" s="11"/>
    </row>
    <row r="80" spans="1:12" ht="12.75">
      <c r="A80" s="263"/>
      <c r="B80" s="269" t="s">
        <v>30</v>
      </c>
      <c r="C80" s="268"/>
      <c r="D80" s="79">
        <v>77</v>
      </c>
      <c r="E80" s="140">
        <v>4213</v>
      </c>
      <c r="F80" s="140" t="s">
        <v>139</v>
      </c>
      <c r="G80" s="137" t="s">
        <v>140</v>
      </c>
      <c r="H80" s="149">
        <v>0</v>
      </c>
      <c r="I80" s="98">
        <v>0</v>
      </c>
      <c r="J80" s="98">
        <v>0</v>
      </c>
      <c r="K80" s="98">
        <v>0</v>
      </c>
      <c r="L80" s="11"/>
    </row>
    <row r="81" spans="1:12" ht="12.75">
      <c r="A81" s="263"/>
      <c r="B81" s="266"/>
      <c r="C81" s="268"/>
      <c r="D81" s="79">
        <v>78</v>
      </c>
      <c r="E81" s="140">
        <v>4216</v>
      </c>
      <c r="F81" s="140" t="s">
        <v>204</v>
      </c>
      <c r="G81" s="137" t="s">
        <v>203</v>
      </c>
      <c r="H81" s="149">
        <v>0</v>
      </c>
      <c r="I81" s="98">
        <f>71+9596+564+51</f>
        <v>10282</v>
      </c>
      <c r="J81" s="96">
        <v>10000</v>
      </c>
      <c r="K81" s="98">
        <v>10000</v>
      </c>
      <c r="L81" s="11"/>
    </row>
    <row r="82" spans="1:12" ht="12.75">
      <c r="A82" s="263"/>
      <c r="B82" s="266"/>
      <c r="C82" s="268"/>
      <c r="D82" s="79">
        <v>79</v>
      </c>
      <c r="E82" s="140">
        <v>4216</v>
      </c>
      <c r="F82" s="140" t="s">
        <v>145</v>
      </c>
      <c r="G82" s="137" t="s">
        <v>146</v>
      </c>
      <c r="H82" s="149">
        <v>0</v>
      </c>
      <c r="I82" s="98">
        <v>0</v>
      </c>
      <c r="J82" s="98">
        <v>0</v>
      </c>
      <c r="K82" s="98">
        <v>0</v>
      </c>
      <c r="L82" s="11"/>
    </row>
    <row r="83" spans="1:12" ht="12.75">
      <c r="A83" s="263"/>
      <c r="B83" s="266"/>
      <c r="C83" s="268"/>
      <c r="D83" s="79">
        <v>80</v>
      </c>
      <c r="E83" s="140">
        <v>4216</v>
      </c>
      <c r="F83" s="140"/>
      <c r="G83" s="137" t="s">
        <v>184</v>
      </c>
      <c r="H83" s="149">
        <v>0</v>
      </c>
      <c r="I83" s="98">
        <v>0</v>
      </c>
      <c r="J83" s="98">
        <v>0</v>
      </c>
      <c r="K83" s="98">
        <v>0</v>
      </c>
      <c r="L83" s="11"/>
    </row>
    <row r="84" spans="1:12" ht="12.75">
      <c r="A84" s="263"/>
      <c r="B84" s="266"/>
      <c r="C84" s="268"/>
      <c r="D84" s="79">
        <v>81</v>
      </c>
      <c r="E84" s="140">
        <v>4221</v>
      </c>
      <c r="F84" s="140"/>
      <c r="G84" s="137" t="s">
        <v>201</v>
      </c>
      <c r="H84" s="149">
        <v>0</v>
      </c>
      <c r="I84" s="98">
        <v>0</v>
      </c>
      <c r="J84" s="98">
        <v>0</v>
      </c>
      <c r="K84" s="98">
        <v>0</v>
      </c>
      <c r="L84" s="11"/>
    </row>
    <row r="85" spans="1:12" ht="12.75">
      <c r="A85" s="263"/>
      <c r="B85" s="266"/>
      <c r="C85" s="268"/>
      <c r="D85" s="79">
        <v>82</v>
      </c>
      <c r="E85" s="140">
        <v>4222</v>
      </c>
      <c r="F85" s="140"/>
      <c r="G85" s="136" t="s">
        <v>234</v>
      </c>
      <c r="H85" s="149">
        <v>0</v>
      </c>
      <c r="I85" s="96">
        <v>65</v>
      </c>
      <c r="J85" s="98">
        <v>0</v>
      </c>
      <c r="K85" s="98">
        <v>0</v>
      </c>
      <c r="L85" s="11"/>
    </row>
    <row r="86" spans="1:12" ht="12.75">
      <c r="A86" s="263"/>
      <c r="B86" s="266"/>
      <c r="C86" s="268"/>
      <c r="D86" s="79">
        <v>83</v>
      </c>
      <c r="E86" s="140">
        <v>4222</v>
      </c>
      <c r="F86" s="140"/>
      <c r="G86" s="137" t="s">
        <v>173</v>
      </c>
      <c r="H86" s="149">
        <v>0</v>
      </c>
      <c r="I86" s="98">
        <v>0</v>
      </c>
      <c r="J86" s="98">
        <v>0</v>
      </c>
      <c r="K86" s="98">
        <v>0</v>
      </c>
      <c r="L86" s="11"/>
    </row>
    <row r="87" spans="1:12" ht="12.75">
      <c r="A87" s="263"/>
      <c r="B87" s="266"/>
      <c r="C87" s="268"/>
      <c r="D87" s="196">
        <v>84</v>
      </c>
      <c r="E87" s="199"/>
      <c r="F87" s="199"/>
      <c r="G87" s="198" t="s">
        <v>23</v>
      </c>
      <c r="H87" s="233">
        <f>SUM(H80:H86)</f>
        <v>0</v>
      </c>
      <c r="I87" s="200">
        <f>SUM(I80:I86)</f>
        <v>10347</v>
      </c>
      <c r="J87" s="200">
        <f>SUM(J80:J86)</f>
        <v>10000</v>
      </c>
      <c r="K87" s="200">
        <f>SUM(K80:K86)</f>
        <v>10000</v>
      </c>
      <c r="L87" s="11"/>
    </row>
    <row r="88" spans="1:12" ht="13.5" thickBot="1">
      <c r="A88" s="264"/>
      <c r="B88" s="270"/>
      <c r="C88" s="271"/>
      <c r="D88" s="81">
        <v>85</v>
      </c>
      <c r="E88" s="7"/>
      <c r="F88" s="7"/>
      <c r="G88" s="132" t="s">
        <v>63</v>
      </c>
      <c r="H88" s="158">
        <f>H79+H87</f>
        <v>9630</v>
      </c>
      <c r="I88" s="43">
        <f>I79+I87</f>
        <v>21489</v>
      </c>
      <c r="J88" s="43">
        <f>J79+J87</f>
        <v>19649</v>
      </c>
      <c r="K88" s="43">
        <f>K79+K87</f>
        <v>19494</v>
      </c>
      <c r="L88" s="11"/>
    </row>
    <row r="89" spans="1:12" ht="13.5" thickBot="1">
      <c r="A89" s="44"/>
      <c r="B89" s="45"/>
      <c r="C89" s="76"/>
      <c r="D89" s="77">
        <v>86</v>
      </c>
      <c r="E89" s="46"/>
      <c r="F89" s="46"/>
      <c r="G89" s="133" t="s">
        <v>64</v>
      </c>
      <c r="H89" s="159">
        <f>H66+H88</f>
        <v>120833</v>
      </c>
      <c r="I89" s="47">
        <f>I66+I88</f>
        <v>136384</v>
      </c>
      <c r="J89" s="47">
        <f>J66+J88</f>
        <v>135983</v>
      </c>
      <c r="K89" s="47">
        <f>K66+K88</f>
        <v>140778</v>
      </c>
      <c r="L89" s="11"/>
    </row>
    <row r="90" ht="12.75">
      <c r="D90" s="56"/>
    </row>
    <row r="91" ht="12.75">
      <c r="G91" s="38" t="s">
        <v>98</v>
      </c>
    </row>
    <row r="92" ht="12.75"/>
    <row r="93" ht="12.75"/>
    <row r="94" ht="12.75">
      <c r="G94" s="48"/>
    </row>
  </sheetData>
  <mergeCells count="15">
    <mergeCell ref="H2:K2"/>
    <mergeCell ref="A2:G2"/>
    <mergeCell ref="M35:M37"/>
    <mergeCell ref="K35:K37"/>
    <mergeCell ref="J35:J37"/>
    <mergeCell ref="H35:H37"/>
    <mergeCell ref="I35:I37"/>
    <mergeCell ref="A67:A88"/>
    <mergeCell ref="B4:B59"/>
    <mergeCell ref="C22:C59"/>
    <mergeCell ref="B80:C88"/>
    <mergeCell ref="C4:C21"/>
    <mergeCell ref="B67:C79"/>
    <mergeCell ref="B60:C66"/>
    <mergeCell ref="A4:A66"/>
  </mergeCells>
  <printOptions verticalCentered="1"/>
  <pageMargins left="0.12" right="0.16" top="0.1968503937007874" bottom="0" header="0.33" footer="0.29"/>
  <pageSetup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O90"/>
  <sheetViews>
    <sheetView zoomScale="75" zoomScaleNormal="75" workbookViewId="0" topLeftCell="A1">
      <pane xSplit="6" ySplit="2" topLeftCell="G3" activePane="bottomRight" state="frozen"/>
      <selection pane="topLeft" activeCell="A1" sqref="A1"/>
      <selection pane="topRight" activeCell="G1" sqref="G1"/>
      <selection pane="bottomLeft" activeCell="A3" sqref="A3"/>
      <selection pane="bottomRight" activeCell="U34" sqref="U34"/>
    </sheetView>
  </sheetViews>
  <sheetFormatPr defaultColWidth="9.00390625" defaultRowHeight="12.75"/>
  <cols>
    <col min="1" max="1" width="5.00390625" style="0" customWidth="1"/>
    <col min="2" max="2" width="4.625" style="1" customWidth="1"/>
    <col min="3" max="3" width="10.25390625" style="1" bestFit="1" customWidth="1"/>
    <col min="4" max="4" width="12.375" style="1" bestFit="1" customWidth="1"/>
    <col min="5" max="5" width="26.875" style="0" customWidth="1"/>
    <col min="6" max="6" width="29.375" style="0" customWidth="1"/>
    <col min="7" max="7" width="15.25390625" style="0" customWidth="1"/>
    <col min="8" max="9" width="15.125" style="0" customWidth="1"/>
    <col min="10" max="10" width="14.625" style="0" customWidth="1"/>
  </cols>
  <sheetData>
    <row r="1" spans="1:10" ht="16.5" thickBot="1">
      <c r="A1" s="284" t="s">
        <v>257</v>
      </c>
      <c r="B1" s="284"/>
      <c r="C1" s="284"/>
      <c r="D1" s="284"/>
      <c r="E1" s="284"/>
      <c r="F1" s="283" t="s">
        <v>254</v>
      </c>
      <c r="G1" s="344"/>
      <c r="H1" s="344"/>
      <c r="I1" s="344"/>
      <c r="J1" s="344"/>
    </row>
    <row r="2" spans="1:10" ht="39" customHeight="1" thickBot="1">
      <c r="A2" s="42"/>
      <c r="B2" s="143" t="s">
        <v>27</v>
      </c>
      <c r="C2" s="143" t="s">
        <v>1</v>
      </c>
      <c r="D2" s="143" t="s">
        <v>0</v>
      </c>
      <c r="E2" s="312" t="s">
        <v>2</v>
      </c>
      <c r="F2" s="313"/>
      <c r="G2" s="54" t="s">
        <v>210</v>
      </c>
      <c r="H2" s="54" t="s">
        <v>220</v>
      </c>
      <c r="I2" s="54" t="s">
        <v>242</v>
      </c>
      <c r="J2" s="54" t="s">
        <v>256</v>
      </c>
    </row>
    <row r="3" spans="1:11" ht="12.75">
      <c r="A3" s="326" t="s">
        <v>55</v>
      </c>
      <c r="B3" s="14">
        <v>1</v>
      </c>
      <c r="C3" s="8"/>
      <c r="D3" s="8">
        <v>1014</v>
      </c>
      <c r="E3" s="314" t="s">
        <v>80</v>
      </c>
      <c r="F3" s="315"/>
      <c r="G3" s="114">
        <v>200</v>
      </c>
      <c r="H3" s="114">
        <v>200</v>
      </c>
      <c r="I3" s="216">
        <v>150</v>
      </c>
      <c r="J3" s="114">
        <v>150</v>
      </c>
      <c r="K3" s="11"/>
    </row>
    <row r="4" spans="1:11" ht="12.75">
      <c r="A4" s="327"/>
      <c r="B4" s="15">
        <v>2</v>
      </c>
      <c r="C4" s="5"/>
      <c r="D4" s="5"/>
      <c r="E4" s="316" t="s">
        <v>81</v>
      </c>
      <c r="F4" s="317"/>
      <c r="G4" s="57">
        <f>SUM(G3)</f>
        <v>200</v>
      </c>
      <c r="H4" s="57">
        <f>SUM(H3)</f>
        <v>200</v>
      </c>
      <c r="I4" s="57">
        <f>SUM(I3)</f>
        <v>150</v>
      </c>
      <c r="J4" s="57">
        <f>SUM(J3)</f>
        <v>150</v>
      </c>
      <c r="K4" s="11"/>
    </row>
    <row r="5" spans="1:11" ht="12.75">
      <c r="A5" s="327"/>
      <c r="B5" s="15">
        <v>3</v>
      </c>
      <c r="C5" s="3">
        <v>5323</v>
      </c>
      <c r="D5" s="101" t="s">
        <v>180</v>
      </c>
      <c r="E5" s="318" t="s">
        <v>67</v>
      </c>
      <c r="F5" s="317"/>
      <c r="G5" s="121">
        <v>625</v>
      </c>
      <c r="H5" s="121">
        <v>625</v>
      </c>
      <c r="I5" s="212">
        <v>630</v>
      </c>
      <c r="J5" s="121">
        <v>630</v>
      </c>
      <c r="K5" s="11"/>
    </row>
    <row r="6" spans="1:11" ht="12.75">
      <c r="A6" s="327"/>
      <c r="B6" s="15">
        <v>4</v>
      </c>
      <c r="C6" s="5"/>
      <c r="D6" s="5"/>
      <c r="E6" s="316" t="s">
        <v>68</v>
      </c>
      <c r="F6" s="317"/>
      <c r="G6" s="58">
        <f>SUM(G5)</f>
        <v>625</v>
      </c>
      <c r="H6" s="58">
        <f>SUM(H5)</f>
        <v>625</v>
      </c>
      <c r="I6" s="58">
        <f>SUM(I5)</f>
        <v>630</v>
      </c>
      <c r="J6" s="58">
        <f>SUM(J5)</f>
        <v>630</v>
      </c>
      <c r="K6" s="23"/>
    </row>
    <row r="7" spans="1:11" ht="12.75">
      <c r="A7" s="327"/>
      <c r="B7" s="15">
        <v>5</v>
      </c>
      <c r="C7" s="5"/>
      <c r="D7" s="5">
        <v>3111</v>
      </c>
      <c r="E7" s="266" t="s">
        <v>41</v>
      </c>
      <c r="F7" s="291"/>
      <c r="G7" s="99">
        <f>1581+362</f>
        <v>1943</v>
      </c>
      <c r="H7" s="95">
        <f>1581+362+18+76</f>
        <v>2037</v>
      </c>
      <c r="I7" s="95">
        <v>1962</v>
      </c>
      <c r="J7" s="99">
        <v>1962</v>
      </c>
      <c r="K7" s="11"/>
    </row>
    <row r="8" spans="1:11" ht="12.75">
      <c r="A8" s="327"/>
      <c r="B8" s="15">
        <v>6</v>
      </c>
      <c r="C8" s="5"/>
      <c r="D8" s="5">
        <v>3119</v>
      </c>
      <c r="E8" s="266" t="s">
        <v>37</v>
      </c>
      <c r="F8" s="291"/>
      <c r="G8" s="99">
        <f>1045+172</f>
        <v>1217</v>
      </c>
      <c r="H8" s="95">
        <f>1045+172+10</f>
        <v>1227</v>
      </c>
      <c r="I8" s="99">
        <f>1045+172+10</f>
        <v>1227</v>
      </c>
      <c r="J8" s="99">
        <f>1045+172+10</f>
        <v>1227</v>
      </c>
      <c r="K8" s="11"/>
    </row>
    <row r="9" spans="1:11" ht="12.75">
      <c r="A9" s="327"/>
      <c r="B9" s="15">
        <v>7</v>
      </c>
      <c r="C9" s="5"/>
      <c r="D9" s="5">
        <v>3113</v>
      </c>
      <c r="E9" s="266" t="s">
        <v>38</v>
      </c>
      <c r="F9" s="291"/>
      <c r="G9" s="99">
        <f>4200+792</f>
        <v>4992</v>
      </c>
      <c r="H9" s="95">
        <f>4200+792+1030+13-76</f>
        <v>5959</v>
      </c>
      <c r="I9" s="95">
        <v>5605</v>
      </c>
      <c r="J9" s="99">
        <v>5605</v>
      </c>
      <c r="K9" s="11"/>
    </row>
    <row r="10" spans="1:11" ht="12.75">
      <c r="A10" s="327"/>
      <c r="B10" s="15">
        <v>8</v>
      </c>
      <c r="C10" s="5"/>
      <c r="D10" s="5">
        <v>3141</v>
      </c>
      <c r="E10" s="266" t="s">
        <v>39</v>
      </c>
      <c r="F10" s="291"/>
      <c r="G10" s="142">
        <f>1116+481+350</f>
        <v>1947</v>
      </c>
      <c r="H10" s="142">
        <f>1116+481+350+205+173</f>
        <v>2325</v>
      </c>
      <c r="I10" s="142">
        <v>1912</v>
      </c>
      <c r="J10" s="115">
        <v>1912</v>
      </c>
      <c r="K10" s="11"/>
    </row>
    <row r="11" spans="1:11" ht="12.75">
      <c r="A11" s="327"/>
      <c r="B11" s="15">
        <v>9</v>
      </c>
      <c r="C11" s="211"/>
      <c r="D11" s="101">
        <v>3113</v>
      </c>
      <c r="E11" s="220" t="s">
        <v>229</v>
      </c>
      <c r="F11" s="98"/>
      <c r="G11" s="115">
        <v>0</v>
      </c>
      <c r="H11" s="142">
        <v>3831</v>
      </c>
      <c r="I11" s="115">
        <v>0</v>
      </c>
      <c r="J11" s="115">
        <v>0</v>
      </c>
      <c r="K11" s="214"/>
    </row>
    <row r="12" spans="1:11" ht="12.75">
      <c r="A12" s="327"/>
      <c r="B12" s="15">
        <v>10</v>
      </c>
      <c r="C12" s="5"/>
      <c r="D12" s="5"/>
      <c r="E12" s="319" t="s">
        <v>188</v>
      </c>
      <c r="F12" s="320"/>
      <c r="G12" s="116">
        <v>2000</v>
      </c>
      <c r="H12" s="116">
        <v>2000</v>
      </c>
      <c r="I12" s="116">
        <v>3000</v>
      </c>
      <c r="J12" s="116">
        <v>3000</v>
      </c>
      <c r="K12" s="11"/>
    </row>
    <row r="13" spans="1:11" ht="12.75">
      <c r="A13" s="327"/>
      <c r="B13" s="15">
        <v>11</v>
      </c>
      <c r="C13" s="5"/>
      <c r="D13" s="5"/>
      <c r="E13" s="299" t="s">
        <v>189</v>
      </c>
      <c r="F13" s="300"/>
      <c r="G13" s="60">
        <v>500</v>
      </c>
      <c r="H13" s="60">
        <v>500</v>
      </c>
      <c r="I13" s="95">
        <v>1000</v>
      </c>
      <c r="J13" s="99">
        <v>1000</v>
      </c>
      <c r="K13" s="11"/>
    </row>
    <row r="14" spans="1:11" ht="12.75">
      <c r="A14" s="327"/>
      <c r="B14" s="15">
        <v>12</v>
      </c>
      <c r="C14" s="5"/>
      <c r="D14" s="5"/>
      <c r="E14" s="292" t="s">
        <v>42</v>
      </c>
      <c r="F14" s="291"/>
      <c r="G14" s="61">
        <f>SUM(G7:G13)</f>
        <v>12599</v>
      </c>
      <c r="H14" s="61">
        <f>SUM(H7:H13)</f>
        <v>17879</v>
      </c>
      <c r="I14" s="61">
        <f>SUM(I7:I13)</f>
        <v>14706</v>
      </c>
      <c r="J14" s="61">
        <f>SUM(J7:J13)</f>
        <v>14706</v>
      </c>
      <c r="K14" s="11"/>
    </row>
    <row r="15" spans="1:11" ht="12.75">
      <c r="A15" s="327"/>
      <c r="B15" s="15">
        <v>13</v>
      </c>
      <c r="C15" s="5"/>
      <c r="D15" s="5">
        <v>3319</v>
      </c>
      <c r="E15" s="266" t="s">
        <v>152</v>
      </c>
      <c r="F15" s="291"/>
      <c r="G15" s="99">
        <v>100</v>
      </c>
      <c r="H15" s="99">
        <f>100+20</f>
        <v>120</v>
      </c>
      <c r="I15" s="95">
        <v>150</v>
      </c>
      <c r="J15" s="99">
        <v>150</v>
      </c>
      <c r="K15" s="11"/>
    </row>
    <row r="16" spans="1:11" ht="12.75">
      <c r="A16" s="327"/>
      <c r="B16" s="15">
        <v>14</v>
      </c>
      <c r="C16" s="5"/>
      <c r="D16" s="5">
        <v>3319</v>
      </c>
      <c r="E16" s="266" t="s">
        <v>153</v>
      </c>
      <c r="F16" s="291"/>
      <c r="G16" s="95">
        <v>950</v>
      </c>
      <c r="H16" s="59">
        <v>950</v>
      </c>
      <c r="I16" s="95">
        <v>1000</v>
      </c>
      <c r="J16" s="99">
        <v>1000</v>
      </c>
      <c r="K16" s="11"/>
    </row>
    <row r="17" spans="1:11" ht="12.75">
      <c r="A17" s="327"/>
      <c r="B17" s="15">
        <v>15</v>
      </c>
      <c r="C17" s="5"/>
      <c r="D17" s="5">
        <v>3349</v>
      </c>
      <c r="E17" s="266" t="s">
        <v>12</v>
      </c>
      <c r="F17" s="291"/>
      <c r="G17" s="59">
        <v>300</v>
      </c>
      <c r="H17" s="59">
        <v>300</v>
      </c>
      <c r="I17" s="59">
        <v>300</v>
      </c>
      <c r="J17" s="99">
        <v>300</v>
      </c>
      <c r="K17" s="11"/>
    </row>
    <row r="18" spans="1:11" ht="12.75">
      <c r="A18" s="327"/>
      <c r="B18" s="49">
        <v>16</v>
      </c>
      <c r="C18" s="5"/>
      <c r="D18" s="101">
        <v>3392</v>
      </c>
      <c r="E18" s="256" t="s">
        <v>192</v>
      </c>
      <c r="F18" s="288"/>
      <c r="G18" s="95">
        <f>146+74</f>
        <v>220</v>
      </c>
      <c r="H18" s="59">
        <f>146+74</f>
        <v>220</v>
      </c>
      <c r="I18" s="95">
        <v>0</v>
      </c>
      <c r="J18" s="99">
        <v>0</v>
      </c>
      <c r="K18" s="11"/>
    </row>
    <row r="19" spans="1:11" ht="12.75">
      <c r="A19" s="327"/>
      <c r="B19" s="15">
        <v>17</v>
      </c>
      <c r="C19" s="5"/>
      <c r="D19" s="50" t="s">
        <v>170</v>
      </c>
      <c r="E19" s="266" t="s">
        <v>162</v>
      </c>
      <c r="F19" s="291"/>
      <c r="G19" s="99">
        <v>7090</v>
      </c>
      <c r="H19" s="99">
        <f>7090+100</f>
        <v>7190</v>
      </c>
      <c r="I19" s="95">
        <f>7346+50</f>
        <v>7396</v>
      </c>
      <c r="J19" s="99">
        <f>7346+50</f>
        <v>7396</v>
      </c>
      <c r="K19" s="11"/>
    </row>
    <row r="20" spans="1:11" ht="12.75">
      <c r="A20" s="327"/>
      <c r="B20" s="15">
        <v>18</v>
      </c>
      <c r="C20" s="5"/>
      <c r="D20" s="5">
        <v>3399</v>
      </c>
      <c r="E20" s="266" t="s">
        <v>100</v>
      </c>
      <c r="F20" s="291"/>
      <c r="G20" s="99">
        <v>150</v>
      </c>
      <c r="H20" s="99">
        <f>150-20</f>
        <v>130</v>
      </c>
      <c r="I20" s="99">
        <v>150</v>
      </c>
      <c r="J20" s="99">
        <v>150</v>
      </c>
      <c r="K20" s="11"/>
    </row>
    <row r="21" spans="1:11" ht="12.75">
      <c r="A21" s="327"/>
      <c r="B21" s="146">
        <v>19</v>
      </c>
      <c r="C21" s="5"/>
      <c r="D21" s="5" t="s">
        <v>72</v>
      </c>
      <c r="E21" s="266" t="s">
        <v>96</v>
      </c>
      <c r="F21" s="291"/>
      <c r="G21" s="95">
        <f>100+11</f>
        <v>111</v>
      </c>
      <c r="H21" s="99">
        <f>100+11-50</f>
        <v>61</v>
      </c>
      <c r="I21" s="95">
        <v>100</v>
      </c>
      <c r="J21" s="95">
        <f>100+27</f>
        <v>127</v>
      </c>
      <c r="K21" s="11"/>
    </row>
    <row r="22" spans="1:11" ht="12.75">
      <c r="A22" s="327"/>
      <c r="B22" s="15">
        <v>20</v>
      </c>
      <c r="C22" s="5"/>
      <c r="D22" s="5" t="s">
        <v>72</v>
      </c>
      <c r="E22" s="323" t="s">
        <v>97</v>
      </c>
      <c r="F22" s="324"/>
      <c r="G22" s="95">
        <f>100+76+277</f>
        <v>453</v>
      </c>
      <c r="H22" s="99">
        <f>100+76+277-46</f>
        <v>407</v>
      </c>
      <c r="I22" s="95">
        <v>100</v>
      </c>
      <c r="J22" s="95">
        <f>100+824</f>
        <v>924</v>
      </c>
      <c r="K22" s="11"/>
    </row>
    <row r="23" spans="1:11" ht="12.75">
      <c r="A23" s="327"/>
      <c r="B23" s="15">
        <v>21</v>
      </c>
      <c r="C23" s="5"/>
      <c r="D23" s="5" t="s">
        <v>72</v>
      </c>
      <c r="E23" s="256" t="s">
        <v>191</v>
      </c>
      <c r="F23" s="288"/>
      <c r="G23" s="99">
        <v>500</v>
      </c>
      <c r="H23" s="99">
        <v>500</v>
      </c>
      <c r="I23" s="99">
        <v>500</v>
      </c>
      <c r="J23" s="99">
        <v>500</v>
      </c>
      <c r="K23" s="11"/>
    </row>
    <row r="24" spans="1:11" ht="12.75">
      <c r="A24" s="327"/>
      <c r="B24" s="15">
        <v>22</v>
      </c>
      <c r="C24" s="5"/>
      <c r="D24" s="5"/>
      <c r="E24" s="292" t="s">
        <v>43</v>
      </c>
      <c r="F24" s="291"/>
      <c r="G24" s="61">
        <f>SUM(G15:G23)</f>
        <v>9874</v>
      </c>
      <c r="H24" s="61">
        <f>SUM(H15:H23)</f>
        <v>9878</v>
      </c>
      <c r="I24" s="61">
        <f>SUM(I15:I23)</f>
        <v>9696</v>
      </c>
      <c r="J24" s="61">
        <f>SUM(J15:J23)</f>
        <v>10547</v>
      </c>
      <c r="K24" s="11"/>
    </row>
    <row r="25" spans="1:11" ht="12.75">
      <c r="A25" s="327"/>
      <c r="B25" s="147">
        <v>23</v>
      </c>
      <c r="C25" s="5"/>
      <c r="D25" s="3">
        <v>6223</v>
      </c>
      <c r="E25" s="289" t="s">
        <v>95</v>
      </c>
      <c r="F25" s="291"/>
      <c r="G25" s="59">
        <v>400</v>
      </c>
      <c r="H25" s="59">
        <v>400</v>
      </c>
      <c r="I25" s="59">
        <v>400</v>
      </c>
      <c r="J25" s="59">
        <v>400</v>
      </c>
      <c r="K25" s="11"/>
    </row>
    <row r="26" spans="1:11" ht="12.75">
      <c r="A26" s="327"/>
      <c r="B26" s="15">
        <v>24</v>
      </c>
      <c r="C26" s="101"/>
      <c r="D26" s="101">
        <v>3319</v>
      </c>
      <c r="E26" s="321" t="s">
        <v>248</v>
      </c>
      <c r="F26" s="322"/>
      <c r="G26" s="99">
        <v>0</v>
      </c>
      <c r="H26" s="99">
        <v>0</v>
      </c>
      <c r="I26" s="99">
        <v>0</v>
      </c>
      <c r="J26" s="95">
        <f>0+500</f>
        <v>500</v>
      </c>
      <c r="K26" s="11"/>
    </row>
    <row r="27" spans="1:11" ht="12.75">
      <c r="A27" s="327"/>
      <c r="B27" s="15">
        <v>25</v>
      </c>
      <c r="C27" s="5">
        <v>5229</v>
      </c>
      <c r="D27" s="3">
        <v>3419</v>
      </c>
      <c r="E27" s="289" t="s">
        <v>163</v>
      </c>
      <c r="F27" s="291"/>
      <c r="G27" s="99">
        <v>200</v>
      </c>
      <c r="H27" s="99">
        <v>200</v>
      </c>
      <c r="I27" s="99">
        <v>200</v>
      </c>
      <c r="J27" s="99">
        <v>200</v>
      </c>
      <c r="K27" s="11"/>
    </row>
    <row r="28" spans="1:11" ht="12.75">
      <c r="A28" s="327"/>
      <c r="B28" s="305">
        <v>26</v>
      </c>
      <c r="C28" s="306" t="s">
        <v>164</v>
      </c>
      <c r="D28" s="307" t="s">
        <v>165</v>
      </c>
      <c r="E28" s="308" t="s">
        <v>93</v>
      </c>
      <c r="F28" s="17" t="s">
        <v>179</v>
      </c>
      <c r="G28" s="99">
        <f>500+200</f>
        <v>700</v>
      </c>
      <c r="H28" s="99">
        <f>500+200</f>
        <v>700</v>
      </c>
      <c r="I28" s="99">
        <f>500+200</f>
        <v>700</v>
      </c>
      <c r="J28" s="99">
        <f>500+200</f>
        <v>700</v>
      </c>
      <c r="K28" s="11"/>
    </row>
    <row r="29" spans="1:11" ht="22.5" customHeight="1">
      <c r="A29" s="327"/>
      <c r="B29" s="305"/>
      <c r="C29" s="306"/>
      <c r="D29" s="307"/>
      <c r="E29" s="309"/>
      <c r="F29" s="82" t="s">
        <v>121</v>
      </c>
      <c r="G29" s="113">
        <v>200</v>
      </c>
      <c r="H29" s="113">
        <f>200+20</f>
        <v>220</v>
      </c>
      <c r="I29" s="213">
        <f>220</f>
        <v>220</v>
      </c>
      <c r="J29" s="113">
        <f>220</f>
        <v>220</v>
      </c>
      <c r="K29" s="11"/>
    </row>
    <row r="30" spans="1:11" ht="12.75">
      <c r="A30" s="327"/>
      <c r="B30" s="15">
        <v>27</v>
      </c>
      <c r="C30" s="5"/>
      <c r="D30" s="25"/>
      <c r="E30" s="292" t="s">
        <v>84</v>
      </c>
      <c r="F30" s="291"/>
      <c r="G30" s="61">
        <f>SUM(G25:G29)</f>
        <v>1500</v>
      </c>
      <c r="H30" s="61">
        <f>SUM(H25:H29)</f>
        <v>1520</v>
      </c>
      <c r="I30" s="61">
        <f>SUM(I25:I29)</f>
        <v>1520</v>
      </c>
      <c r="J30" s="61">
        <f>SUM(J25:J29)</f>
        <v>2020</v>
      </c>
      <c r="K30" s="11"/>
    </row>
    <row r="31" spans="1:11" ht="12.75">
      <c r="A31" s="327"/>
      <c r="B31" s="15">
        <v>28</v>
      </c>
      <c r="C31" s="5"/>
      <c r="D31" s="5">
        <v>6112</v>
      </c>
      <c r="E31" s="2" t="s">
        <v>73</v>
      </c>
      <c r="F31" s="29"/>
      <c r="G31" s="113">
        <v>2000</v>
      </c>
      <c r="H31" s="113">
        <v>2000</v>
      </c>
      <c r="I31" s="213">
        <v>2150</v>
      </c>
      <c r="J31" s="113">
        <v>2150</v>
      </c>
      <c r="K31" s="11"/>
    </row>
    <row r="32" spans="1:11" ht="12.75">
      <c r="A32" s="327"/>
      <c r="B32" s="15">
        <v>29</v>
      </c>
      <c r="C32" s="5"/>
      <c r="D32" s="5"/>
      <c r="E32" s="256"/>
      <c r="F32" s="288"/>
      <c r="G32" s="113">
        <v>0</v>
      </c>
      <c r="H32" s="113">
        <v>0</v>
      </c>
      <c r="I32" s="113">
        <v>0</v>
      </c>
      <c r="J32" s="113">
        <v>0</v>
      </c>
      <c r="K32" s="11"/>
    </row>
    <row r="33" spans="1:11" ht="12.75">
      <c r="A33" s="327"/>
      <c r="B33" s="15">
        <v>30</v>
      </c>
      <c r="C33" s="5"/>
      <c r="D33" s="5">
        <v>6112</v>
      </c>
      <c r="E33" s="266" t="s">
        <v>44</v>
      </c>
      <c r="F33" s="291"/>
      <c r="G33" s="113">
        <v>1170</v>
      </c>
      <c r="H33" s="113">
        <v>1170</v>
      </c>
      <c r="I33" s="213">
        <v>1250</v>
      </c>
      <c r="J33" s="113">
        <v>1250</v>
      </c>
      <c r="K33" s="11"/>
    </row>
    <row r="34" spans="1:11" ht="12.75">
      <c r="A34" s="327"/>
      <c r="B34" s="15">
        <v>31</v>
      </c>
      <c r="C34" s="5"/>
      <c r="D34" s="5">
        <v>6112</v>
      </c>
      <c r="E34" s="266" t="s">
        <v>77</v>
      </c>
      <c r="F34" s="291"/>
      <c r="G34" s="113">
        <v>110</v>
      </c>
      <c r="H34" s="113">
        <v>110</v>
      </c>
      <c r="I34" s="213">
        <v>130</v>
      </c>
      <c r="J34" s="113">
        <v>130</v>
      </c>
      <c r="K34" s="11"/>
    </row>
    <row r="35" spans="1:11" ht="12.75">
      <c r="A35" s="327"/>
      <c r="B35" s="15">
        <v>32</v>
      </c>
      <c r="C35" s="5">
        <v>5492</v>
      </c>
      <c r="D35" s="5">
        <v>6112.71</v>
      </c>
      <c r="E35" s="266" t="s">
        <v>114</v>
      </c>
      <c r="F35" s="291"/>
      <c r="G35" s="59">
        <v>120</v>
      </c>
      <c r="H35" s="59">
        <v>120</v>
      </c>
      <c r="I35" s="59">
        <v>120</v>
      </c>
      <c r="J35" s="99">
        <v>120</v>
      </c>
      <c r="K35" s="11"/>
    </row>
    <row r="36" spans="1:11" ht="12.75">
      <c r="A36" s="327"/>
      <c r="B36" s="15">
        <v>33</v>
      </c>
      <c r="C36" s="5"/>
      <c r="D36" s="101">
        <v>6117</v>
      </c>
      <c r="E36" s="289" t="s">
        <v>211</v>
      </c>
      <c r="F36" s="290"/>
      <c r="G36" s="99">
        <v>0</v>
      </c>
      <c r="H36" s="99">
        <f>0+130+50</f>
        <v>180</v>
      </c>
      <c r="I36" s="99">
        <v>0</v>
      </c>
      <c r="J36" s="99">
        <v>0</v>
      </c>
      <c r="K36" s="11"/>
    </row>
    <row r="37" spans="1:12" ht="12.75">
      <c r="A37" s="327"/>
      <c r="B37" s="79">
        <v>34</v>
      </c>
      <c r="C37" s="5"/>
      <c r="D37" s="101"/>
      <c r="E37" s="299"/>
      <c r="F37" s="300"/>
      <c r="G37" s="99">
        <v>0</v>
      </c>
      <c r="H37" s="99">
        <v>0</v>
      </c>
      <c r="I37" s="99">
        <v>0</v>
      </c>
      <c r="J37" s="99">
        <v>0</v>
      </c>
      <c r="K37" s="11"/>
      <c r="L37" s="180"/>
    </row>
    <row r="38" spans="1:11" ht="12.75">
      <c r="A38" s="327"/>
      <c r="B38" s="15">
        <v>35</v>
      </c>
      <c r="C38" s="5"/>
      <c r="D38" s="112" t="s">
        <v>177</v>
      </c>
      <c r="E38" s="310" t="s">
        <v>178</v>
      </c>
      <c r="F38" s="311"/>
      <c r="G38" s="99">
        <v>21738</v>
      </c>
      <c r="H38" s="99">
        <v>21738</v>
      </c>
      <c r="I38" s="95">
        <v>22632</v>
      </c>
      <c r="J38" s="99">
        <v>22632</v>
      </c>
      <c r="K38" s="11"/>
    </row>
    <row r="39" spans="1:11" ht="12.75">
      <c r="A39" s="327"/>
      <c r="B39" s="15">
        <v>36</v>
      </c>
      <c r="C39" s="5"/>
      <c r="D39" s="5">
        <v>6171</v>
      </c>
      <c r="E39" s="266" t="s">
        <v>45</v>
      </c>
      <c r="F39" s="291"/>
      <c r="G39" s="99">
        <v>250</v>
      </c>
      <c r="H39" s="99">
        <v>250</v>
      </c>
      <c r="I39" s="99">
        <v>250</v>
      </c>
      <c r="J39" s="95">
        <f>250+20</f>
        <v>270</v>
      </c>
      <c r="K39" s="11"/>
    </row>
    <row r="40" spans="1:11" ht="12.75">
      <c r="A40" s="327"/>
      <c r="B40" s="15">
        <v>37</v>
      </c>
      <c r="C40" s="5"/>
      <c r="D40" s="5">
        <v>6399</v>
      </c>
      <c r="E40" s="266" t="s">
        <v>119</v>
      </c>
      <c r="F40" s="291"/>
      <c r="G40" s="99">
        <f>2500+402</f>
        <v>2902</v>
      </c>
      <c r="H40" s="99">
        <f>2500+402+118</f>
        <v>3020</v>
      </c>
      <c r="I40" s="95">
        <f>2500+550</f>
        <v>3050</v>
      </c>
      <c r="J40" s="99">
        <f>2500+550</f>
        <v>3050</v>
      </c>
      <c r="K40" s="11"/>
    </row>
    <row r="41" spans="1:11" ht="12.75">
      <c r="A41" s="327"/>
      <c r="B41" s="15">
        <v>38</v>
      </c>
      <c r="C41" s="5"/>
      <c r="D41" s="5">
        <v>6171</v>
      </c>
      <c r="E41" s="266" t="s">
        <v>205</v>
      </c>
      <c r="F41" s="291"/>
      <c r="G41" s="99">
        <v>100</v>
      </c>
      <c r="H41" s="99">
        <v>100</v>
      </c>
      <c r="I41" s="95">
        <v>120</v>
      </c>
      <c r="J41" s="99">
        <v>120</v>
      </c>
      <c r="K41" s="11"/>
    </row>
    <row r="42" spans="1:11" ht="12.75">
      <c r="A42" s="327"/>
      <c r="B42" s="15">
        <v>39</v>
      </c>
      <c r="C42" s="3">
        <v>5141</v>
      </c>
      <c r="D42" s="3">
        <v>6310</v>
      </c>
      <c r="E42" s="266" t="s">
        <v>207</v>
      </c>
      <c r="F42" s="291"/>
      <c r="G42" s="99">
        <v>150</v>
      </c>
      <c r="H42" s="99">
        <f>150+50+200</f>
        <v>400</v>
      </c>
      <c r="I42" s="95">
        <f>37+309</f>
        <v>346</v>
      </c>
      <c r="J42" s="99">
        <f>37+309</f>
        <v>346</v>
      </c>
      <c r="K42" s="11"/>
    </row>
    <row r="43" spans="1:11" ht="12.75">
      <c r="A43" s="327"/>
      <c r="B43" s="79">
        <v>40</v>
      </c>
      <c r="C43" s="3"/>
      <c r="D43" s="3" t="s">
        <v>197</v>
      </c>
      <c r="E43" s="266" t="s">
        <v>65</v>
      </c>
      <c r="F43" s="291"/>
      <c r="G43" s="95">
        <f>24+26</f>
        <v>50</v>
      </c>
      <c r="H43" s="99">
        <f>24+26</f>
        <v>50</v>
      </c>
      <c r="I43" s="95">
        <v>33</v>
      </c>
      <c r="J43" s="99">
        <v>33</v>
      </c>
      <c r="K43" s="11"/>
    </row>
    <row r="44" spans="1:11" ht="12.75">
      <c r="A44" s="327"/>
      <c r="B44" s="15">
        <v>41</v>
      </c>
      <c r="C44" s="3" t="s">
        <v>71</v>
      </c>
      <c r="D44" s="3">
        <v>6409</v>
      </c>
      <c r="E44" s="266" t="s">
        <v>212</v>
      </c>
      <c r="F44" s="291"/>
      <c r="G44" s="99">
        <v>120</v>
      </c>
      <c r="H44" s="99">
        <f>120+44</f>
        <v>164</v>
      </c>
      <c r="I44" s="95">
        <f>58+30+32+24+15+1</f>
        <v>160</v>
      </c>
      <c r="J44" s="99">
        <f>58+30+32+24+15+1</f>
        <v>160</v>
      </c>
      <c r="K44" s="11"/>
    </row>
    <row r="45" spans="1:11" ht="12.75">
      <c r="A45" s="327"/>
      <c r="B45" s="15">
        <v>42</v>
      </c>
      <c r="C45" s="3"/>
      <c r="D45" s="3"/>
      <c r="E45" s="292" t="s">
        <v>46</v>
      </c>
      <c r="F45" s="291"/>
      <c r="G45" s="61">
        <f>SUM(G31:G44)</f>
        <v>28710</v>
      </c>
      <c r="H45" s="61">
        <f>SUM(H31:H44)</f>
        <v>29302</v>
      </c>
      <c r="I45" s="61">
        <f>SUM(I31:I44)</f>
        <v>30241</v>
      </c>
      <c r="J45" s="61">
        <f>SUM(J31:J44)</f>
        <v>30261</v>
      </c>
      <c r="K45" s="11"/>
    </row>
    <row r="46" spans="1:11" ht="12.75">
      <c r="A46" s="327"/>
      <c r="B46" s="15">
        <v>43</v>
      </c>
      <c r="C46" s="3"/>
      <c r="D46" s="3">
        <v>5512</v>
      </c>
      <c r="E46" s="266" t="s">
        <v>195</v>
      </c>
      <c r="F46" s="291"/>
      <c r="G46" s="99">
        <v>734</v>
      </c>
      <c r="H46" s="99">
        <v>734</v>
      </c>
      <c r="I46" s="99">
        <v>734</v>
      </c>
      <c r="J46" s="99">
        <v>734</v>
      </c>
      <c r="K46" s="11"/>
    </row>
    <row r="47" spans="1:11" ht="12.75">
      <c r="A47" s="327"/>
      <c r="B47" s="15">
        <v>44</v>
      </c>
      <c r="C47" s="3"/>
      <c r="D47" s="3">
        <v>5521</v>
      </c>
      <c r="E47" s="266" t="s">
        <v>47</v>
      </c>
      <c r="F47" s="291"/>
      <c r="G47" s="60">
        <v>0</v>
      </c>
      <c r="H47" s="60">
        <v>0</v>
      </c>
      <c r="I47" s="60">
        <v>0</v>
      </c>
      <c r="J47" s="60">
        <v>0</v>
      </c>
      <c r="K47" s="11"/>
    </row>
    <row r="48" spans="1:11" ht="12.75">
      <c r="A48" s="327"/>
      <c r="B48" s="15">
        <v>45</v>
      </c>
      <c r="C48" s="3"/>
      <c r="D48" s="3"/>
      <c r="E48" s="292" t="s">
        <v>48</v>
      </c>
      <c r="F48" s="291"/>
      <c r="G48" s="61">
        <f>SUM(G46:G47)</f>
        <v>734</v>
      </c>
      <c r="H48" s="61">
        <f>SUM(H46:H47)</f>
        <v>734</v>
      </c>
      <c r="I48" s="61">
        <f>SUM(I46:I47)</f>
        <v>734</v>
      </c>
      <c r="J48" s="61">
        <f>SUM(J46:J47)</f>
        <v>734</v>
      </c>
      <c r="K48" s="11"/>
    </row>
    <row r="49" spans="1:11" ht="12.75">
      <c r="A49" s="327"/>
      <c r="B49" s="15">
        <v>46</v>
      </c>
      <c r="C49" s="3"/>
      <c r="D49" s="3">
        <v>5311</v>
      </c>
      <c r="E49" s="266" t="s">
        <v>49</v>
      </c>
      <c r="F49" s="291"/>
      <c r="G49" s="99">
        <v>4240</v>
      </c>
      <c r="H49" s="99">
        <v>4240</v>
      </c>
      <c r="I49" s="95">
        <v>4337</v>
      </c>
      <c r="J49" s="99">
        <v>4337</v>
      </c>
      <c r="K49" s="11"/>
    </row>
    <row r="50" spans="1:11" ht="12.75">
      <c r="A50" s="327"/>
      <c r="B50" s="15">
        <v>47</v>
      </c>
      <c r="C50" s="3"/>
      <c r="D50" s="3"/>
      <c r="E50" s="292" t="s">
        <v>50</v>
      </c>
      <c r="F50" s="291"/>
      <c r="G50" s="61">
        <f>SUM(G49)</f>
        <v>4240</v>
      </c>
      <c r="H50" s="61">
        <f>SUM(H49)</f>
        <v>4240</v>
      </c>
      <c r="I50" s="61">
        <f>SUM(I49)</f>
        <v>4337</v>
      </c>
      <c r="J50" s="61">
        <f>SUM(J49)</f>
        <v>4337</v>
      </c>
      <c r="K50" s="11"/>
    </row>
    <row r="51" spans="1:11" ht="12.75">
      <c r="A51" s="327"/>
      <c r="B51" s="15">
        <v>48</v>
      </c>
      <c r="C51" s="3"/>
      <c r="D51" s="3"/>
      <c r="E51" s="289"/>
      <c r="F51" s="290"/>
      <c r="G51" s="113">
        <v>0</v>
      </c>
      <c r="H51" s="113">
        <v>0</v>
      </c>
      <c r="I51" s="113">
        <v>0</v>
      </c>
      <c r="J51" s="113">
        <v>0</v>
      </c>
      <c r="K51" s="11"/>
    </row>
    <row r="52" spans="1:11" ht="12.75">
      <c r="A52" s="327"/>
      <c r="B52" s="15">
        <v>49</v>
      </c>
      <c r="C52" s="3" t="s">
        <v>71</v>
      </c>
      <c r="D52" s="53" t="s">
        <v>208</v>
      </c>
      <c r="E52" s="303" t="s">
        <v>193</v>
      </c>
      <c r="F52" s="304"/>
      <c r="G52" s="113">
        <v>100</v>
      </c>
      <c r="H52" s="113">
        <v>100</v>
      </c>
      <c r="I52" s="113">
        <v>100</v>
      </c>
      <c r="J52" s="113">
        <v>100</v>
      </c>
      <c r="K52" s="11"/>
    </row>
    <row r="53" spans="1:11" ht="12.75">
      <c r="A53" s="327"/>
      <c r="B53" s="15">
        <v>50</v>
      </c>
      <c r="C53" s="3" t="s">
        <v>71</v>
      </c>
      <c r="D53" s="53" t="s">
        <v>209</v>
      </c>
      <c r="E53" s="299" t="s">
        <v>215</v>
      </c>
      <c r="F53" s="300"/>
      <c r="G53" s="95">
        <f>0+50</f>
        <v>50</v>
      </c>
      <c r="H53" s="99">
        <f>0+50+32+15</f>
        <v>97</v>
      </c>
      <c r="I53" s="99">
        <v>0</v>
      </c>
      <c r="J53" s="99">
        <v>0</v>
      </c>
      <c r="K53" s="11"/>
    </row>
    <row r="54" spans="1:11" ht="12.75">
      <c r="A54" s="327"/>
      <c r="B54" s="15">
        <v>51</v>
      </c>
      <c r="C54" s="3" t="s">
        <v>52</v>
      </c>
      <c r="D54" s="3">
        <v>4351.59</v>
      </c>
      <c r="E54" s="289" t="s">
        <v>113</v>
      </c>
      <c r="F54" s="291"/>
      <c r="G54" s="99">
        <v>2241</v>
      </c>
      <c r="H54" s="99">
        <v>2241</v>
      </c>
      <c r="I54" s="95">
        <v>2330</v>
      </c>
      <c r="J54" s="99">
        <v>2330</v>
      </c>
      <c r="K54" s="11"/>
    </row>
    <row r="55" spans="1:11" ht="12.75">
      <c r="A55" s="327"/>
      <c r="B55" s="15">
        <v>52</v>
      </c>
      <c r="C55" s="3"/>
      <c r="D55" s="3"/>
      <c r="E55" s="292" t="s">
        <v>51</v>
      </c>
      <c r="F55" s="291"/>
      <c r="G55" s="61">
        <f>SUM(G51:G54)</f>
        <v>2391</v>
      </c>
      <c r="H55" s="61">
        <f>SUM(H51:H54)</f>
        <v>2438</v>
      </c>
      <c r="I55" s="61">
        <f>SUM(I51:I54)</f>
        <v>2430</v>
      </c>
      <c r="J55" s="61">
        <f>SUM(J51:J54)</f>
        <v>2430</v>
      </c>
      <c r="K55" s="11"/>
    </row>
    <row r="56" spans="1:11" ht="12.75">
      <c r="A56" s="327"/>
      <c r="B56" s="15">
        <v>53</v>
      </c>
      <c r="C56" s="3"/>
      <c r="D56" s="53"/>
      <c r="E56" s="301"/>
      <c r="F56" s="302"/>
      <c r="G56" s="99">
        <v>0</v>
      </c>
      <c r="H56" s="99">
        <v>0</v>
      </c>
      <c r="I56" s="99">
        <v>0</v>
      </c>
      <c r="J56" s="99">
        <v>0</v>
      </c>
      <c r="K56" s="11"/>
    </row>
    <row r="57" spans="1:11" ht="12.75">
      <c r="A57" s="327"/>
      <c r="B57" s="15">
        <v>54</v>
      </c>
      <c r="C57" s="3">
        <v>5903</v>
      </c>
      <c r="D57" s="3">
        <v>5213</v>
      </c>
      <c r="E57" s="289" t="s">
        <v>118</v>
      </c>
      <c r="F57" s="291"/>
      <c r="G57" s="99">
        <v>1000</v>
      </c>
      <c r="H57" s="99">
        <v>1000</v>
      </c>
      <c r="I57" s="99">
        <v>1000</v>
      </c>
      <c r="J57" s="99">
        <v>1000</v>
      </c>
      <c r="K57" s="11"/>
    </row>
    <row r="58" spans="1:11" ht="12.75">
      <c r="A58" s="327"/>
      <c r="B58" s="15">
        <v>55</v>
      </c>
      <c r="C58" s="53"/>
      <c r="D58" s="5"/>
      <c r="E58" s="289"/>
      <c r="F58" s="290"/>
      <c r="G58" s="59">
        <v>0</v>
      </c>
      <c r="H58" s="59">
        <v>0</v>
      </c>
      <c r="I58" s="59">
        <v>0</v>
      </c>
      <c r="J58" s="59">
        <v>0</v>
      </c>
      <c r="K58" s="11"/>
    </row>
    <row r="59" spans="1:11" ht="12.75">
      <c r="A59" s="327"/>
      <c r="B59" s="15">
        <v>56</v>
      </c>
      <c r="C59" s="5"/>
      <c r="D59" s="5"/>
      <c r="E59" s="289"/>
      <c r="F59" s="290"/>
      <c r="G59" s="59">
        <v>0</v>
      </c>
      <c r="H59" s="59">
        <v>0</v>
      </c>
      <c r="I59" s="59">
        <v>0</v>
      </c>
      <c r="J59" s="59">
        <v>0</v>
      </c>
      <c r="K59" s="11"/>
    </row>
    <row r="60" spans="1:11" ht="12.75">
      <c r="A60" s="327"/>
      <c r="B60" s="146">
        <v>57</v>
      </c>
      <c r="C60" s="5"/>
      <c r="D60" s="5"/>
      <c r="E60" s="292" t="s">
        <v>110</v>
      </c>
      <c r="F60" s="291"/>
      <c r="G60" s="61">
        <f>G56+G58+G59+G57</f>
        <v>1000</v>
      </c>
      <c r="H60" s="61">
        <f>H56+H58+H59+H57</f>
        <v>1000</v>
      </c>
      <c r="I60" s="61">
        <f>I56+I58+I59+I57</f>
        <v>1000</v>
      </c>
      <c r="J60" s="61">
        <f>J56+J58+J59+J57</f>
        <v>1000</v>
      </c>
      <c r="K60" s="11"/>
    </row>
    <row r="61" spans="1:11" ht="12.75">
      <c r="A61" s="327"/>
      <c r="B61" s="15">
        <v>58</v>
      </c>
      <c r="C61" s="5"/>
      <c r="D61" s="5">
        <v>3635</v>
      </c>
      <c r="E61" s="289" t="s">
        <v>198</v>
      </c>
      <c r="F61" s="291"/>
      <c r="G61" s="99">
        <v>40</v>
      </c>
      <c r="H61" s="99">
        <v>40</v>
      </c>
      <c r="I61" s="95">
        <v>300</v>
      </c>
      <c r="J61" s="99">
        <v>300</v>
      </c>
      <c r="K61" s="11"/>
    </row>
    <row r="62" spans="1:11" ht="12.75">
      <c r="A62" s="327"/>
      <c r="B62" s="15">
        <v>59</v>
      </c>
      <c r="C62" s="5"/>
      <c r="D62" s="101">
        <v>3631</v>
      </c>
      <c r="E62" s="329" t="s">
        <v>172</v>
      </c>
      <c r="F62" s="330"/>
      <c r="G62" s="99">
        <v>2120</v>
      </c>
      <c r="H62" s="99">
        <v>2120</v>
      </c>
      <c r="I62" s="99">
        <v>2520</v>
      </c>
      <c r="J62" s="99">
        <v>2520</v>
      </c>
      <c r="K62" s="11"/>
    </row>
    <row r="63" spans="1:11" ht="12.75">
      <c r="A63" s="327"/>
      <c r="B63" s="15">
        <v>60</v>
      </c>
      <c r="C63" s="5"/>
      <c r="D63" s="53" t="s">
        <v>213</v>
      </c>
      <c r="E63" s="347" t="s">
        <v>137</v>
      </c>
      <c r="F63" s="348"/>
      <c r="G63" s="99">
        <f>60-60</f>
        <v>0</v>
      </c>
      <c r="H63" s="99">
        <f>60-60</f>
        <v>0</v>
      </c>
      <c r="I63" s="99">
        <f>60-60</f>
        <v>0</v>
      </c>
      <c r="J63" s="99">
        <f>60-60</f>
        <v>0</v>
      </c>
      <c r="K63" s="11"/>
    </row>
    <row r="64" spans="1:11" ht="12.75">
      <c r="A64" s="327"/>
      <c r="B64" s="15">
        <v>61</v>
      </c>
      <c r="C64" s="5"/>
      <c r="D64" s="5">
        <v>3612</v>
      </c>
      <c r="E64" s="345" t="s">
        <v>131</v>
      </c>
      <c r="F64" s="291"/>
      <c r="G64" s="95">
        <f>4109-87</f>
        <v>4022</v>
      </c>
      <c r="H64" s="95">
        <f>4109-87+200-337</f>
        <v>3885</v>
      </c>
      <c r="I64" s="95">
        <v>2200</v>
      </c>
      <c r="J64" s="99">
        <v>2200</v>
      </c>
      <c r="K64" s="214"/>
    </row>
    <row r="65" spans="1:15" ht="12.75">
      <c r="A65" s="327"/>
      <c r="B65" s="15">
        <v>62</v>
      </c>
      <c r="C65" s="5"/>
      <c r="D65" s="5">
        <v>3634</v>
      </c>
      <c r="E65" s="345" t="s">
        <v>130</v>
      </c>
      <c r="F65" s="291"/>
      <c r="G65" s="99">
        <v>1350</v>
      </c>
      <c r="H65" s="95">
        <f>1350+6000</f>
        <v>7350</v>
      </c>
      <c r="I65" s="95">
        <v>1000</v>
      </c>
      <c r="J65" s="99">
        <v>1000</v>
      </c>
      <c r="K65" s="214"/>
      <c r="O65" s="103"/>
    </row>
    <row r="66" spans="1:11" ht="12.75">
      <c r="A66" s="327"/>
      <c r="B66" s="293">
        <v>63</v>
      </c>
      <c r="C66" s="295" t="s">
        <v>151</v>
      </c>
      <c r="D66" s="296"/>
      <c r="E66" s="144" t="s">
        <v>236</v>
      </c>
      <c r="F66" s="145"/>
      <c r="G66" s="232">
        <v>20572</v>
      </c>
      <c r="H66" s="232">
        <v>20572</v>
      </c>
      <c r="I66" s="358">
        <v>20847</v>
      </c>
      <c r="J66" s="253">
        <v>20847</v>
      </c>
      <c r="K66" s="214"/>
    </row>
    <row r="67" spans="1:11" ht="12.75">
      <c r="A67" s="327"/>
      <c r="B67" s="294"/>
      <c r="C67" s="297"/>
      <c r="D67" s="298"/>
      <c r="E67" s="144" t="s">
        <v>237</v>
      </c>
      <c r="F67" s="26"/>
      <c r="G67" s="231"/>
      <c r="H67" s="231"/>
      <c r="I67" s="354"/>
      <c r="J67" s="255"/>
      <c r="K67" s="214"/>
    </row>
    <row r="68" spans="1:11" ht="12.75">
      <c r="A68" s="327"/>
      <c r="B68" s="15">
        <v>64</v>
      </c>
      <c r="C68" s="6"/>
      <c r="D68" s="6">
        <v>3639</v>
      </c>
      <c r="E68" s="144" t="s">
        <v>132</v>
      </c>
      <c r="F68" s="27"/>
      <c r="G68" s="109">
        <v>4500</v>
      </c>
      <c r="H68" s="109">
        <v>4500</v>
      </c>
      <c r="I68" s="109">
        <v>4500</v>
      </c>
      <c r="J68" s="109">
        <v>4500</v>
      </c>
      <c r="K68" s="214"/>
    </row>
    <row r="69" spans="1:11" ht="12.75">
      <c r="A69" s="327"/>
      <c r="B69" s="15">
        <v>65</v>
      </c>
      <c r="C69" s="5"/>
      <c r="D69" s="101" t="s">
        <v>221</v>
      </c>
      <c r="E69" s="329" t="s">
        <v>224</v>
      </c>
      <c r="F69" s="330"/>
      <c r="G69" s="253">
        <f>13933-2000+1104</f>
        <v>13037</v>
      </c>
      <c r="H69" s="253">
        <f>13933-2000+1104</f>
        <v>13037</v>
      </c>
      <c r="I69" s="258">
        <f>15725-3000+1104</f>
        <v>13829</v>
      </c>
      <c r="J69" s="260">
        <f>15725-3000+1104</f>
        <v>13829</v>
      </c>
      <c r="K69" s="346"/>
    </row>
    <row r="70" spans="1:11" ht="12.75">
      <c r="A70" s="327"/>
      <c r="B70" s="15">
        <v>66</v>
      </c>
      <c r="C70" s="5"/>
      <c r="D70" s="5">
        <v>3612</v>
      </c>
      <c r="E70" s="347" t="s">
        <v>143</v>
      </c>
      <c r="F70" s="348"/>
      <c r="G70" s="255"/>
      <c r="H70" s="255"/>
      <c r="I70" s="252"/>
      <c r="J70" s="257"/>
      <c r="K70" s="346"/>
    </row>
    <row r="71" spans="1:11" ht="12.75">
      <c r="A71" s="327"/>
      <c r="B71" s="15">
        <v>67</v>
      </c>
      <c r="C71" s="5"/>
      <c r="D71" s="5">
        <v>3669</v>
      </c>
      <c r="E71" s="289" t="s">
        <v>92</v>
      </c>
      <c r="F71" s="291"/>
      <c r="G71" s="99">
        <v>50</v>
      </c>
      <c r="H71" s="95">
        <f>50+50</f>
        <v>100</v>
      </c>
      <c r="I71" s="99">
        <v>60</v>
      </c>
      <c r="J71" s="99">
        <v>60</v>
      </c>
      <c r="K71" s="11"/>
    </row>
    <row r="72" spans="1:11" ht="12.75">
      <c r="A72" s="327"/>
      <c r="B72" s="15">
        <v>68</v>
      </c>
      <c r="C72" s="5"/>
      <c r="D72" s="5"/>
      <c r="E72" s="292" t="s">
        <v>59</v>
      </c>
      <c r="F72" s="291"/>
      <c r="G72" s="61">
        <f>SUM(G61:G71)</f>
        <v>45691</v>
      </c>
      <c r="H72" s="61">
        <f>SUM(H61:H71)</f>
        <v>51604</v>
      </c>
      <c r="I72" s="61">
        <f>SUM(I61:I71)</f>
        <v>45256</v>
      </c>
      <c r="J72" s="61">
        <f>SUM(J61:J71)</f>
        <v>45256</v>
      </c>
      <c r="K72" s="11"/>
    </row>
    <row r="73" spans="1:11" ht="12.75">
      <c r="A73" s="327"/>
      <c r="B73" s="15">
        <v>69</v>
      </c>
      <c r="C73" s="5" t="s">
        <v>75</v>
      </c>
      <c r="D73" s="5">
        <v>6171</v>
      </c>
      <c r="E73" s="289" t="s">
        <v>76</v>
      </c>
      <c r="F73" s="291"/>
      <c r="G73" s="95">
        <f>500+80</f>
        <v>580</v>
      </c>
      <c r="H73" s="59">
        <f>500+80</f>
        <v>580</v>
      </c>
      <c r="I73" s="59">
        <f>500+80</f>
        <v>580</v>
      </c>
      <c r="J73" s="95">
        <f>500+80+100</f>
        <v>680</v>
      </c>
      <c r="K73" s="11"/>
    </row>
    <row r="74" spans="1:11" ht="12.75">
      <c r="A74" s="327"/>
      <c r="B74" s="15">
        <v>70</v>
      </c>
      <c r="C74" s="5"/>
      <c r="D74" s="5"/>
      <c r="E74" s="292" t="s">
        <v>76</v>
      </c>
      <c r="F74" s="291"/>
      <c r="G74" s="61">
        <f>SUM(G73)</f>
        <v>580</v>
      </c>
      <c r="H74" s="61">
        <f>SUM(H73)</f>
        <v>580</v>
      </c>
      <c r="I74" s="61">
        <f>SUM(I73)</f>
        <v>580</v>
      </c>
      <c r="J74" s="61">
        <f>SUM(J73)</f>
        <v>680</v>
      </c>
      <c r="K74" s="11"/>
    </row>
    <row r="75" spans="1:11" ht="12.75">
      <c r="A75" s="327"/>
      <c r="B75" s="15">
        <v>71</v>
      </c>
      <c r="C75" s="5"/>
      <c r="D75" s="101">
        <v>6409</v>
      </c>
      <c r="E75" s="329" t="s">
        <v>194</v>
      </c>
      <c r="F75" s="330"/>
      <c r="G75" s="109">
        <v>300</v>
      </c>
      <c r="H75" s="210">
        <f>300-250</f>
        <v>50</v>
      </c>
      <c r="I75" s="210">
        <f>300-250</f>
        <v>50</v>
      </c>
      <c r="J75" s="109">
        <f>300-250</f>
        <v>50</v>
      </c>
      <c r="K75" s="11"/>
    </row>
    <row r="76" spans="1:11" ht="12.75">
      <c r="A76" s="327"/>
      <c r="B76" s="15">
        <v>72</v>
      </c>
      <c r="C76" s="5"/>
      <c r="D76" s="5"/>
      <c r="E76" s="292" t="s">
        <v>133</v>
      </c>
      <c r="F76" s="351"/>
      <c r="G76" s="87">
        <f>SUM(G75)</f>
        <v>300</v>
      </c>
      <c r="H76" s="87">
        <f>SUM(H75)</f>
        <v>50</v>
      </c>
      <c r="I76" s="87">
        <f>SUM(I75)</f>
        <v>50</v>
      </c>
      <c r="J76" s="87">
        <f>SUM(J75)</f>
        <v>50</v>
      </c>
      <c r="K76" s="11"/>
    </row>
    <row r="77" spans="1:11" ht="13.5" thickBot="1">
      <c r="A77" s="328"/>
      <c r="B77" s="31">
        <v>73</v>
      </c>
      <c r="C77" s="9"/>
      <c r="D77" s="9"/>
      <c r="E77" s="349" t="s">
        <v>53</v>
      </c>
      <c r="F77" s="350"/>
      <c r="G77" s="62">
        <f>G4+G6+G14+G24+G30+G45+G48+G50+G55+G72+G74+G60+G76</f>
        <v>108444</v>
      </c>
      <c r="H77" s="62">
        <f>H4+H6+H14+H24+H30+H45+H48+H50+H55+H72+H74+H60+H76</f>
        <v>120050</v>
      </c>
      <c r="I77" s="62">
        <f>I4+I6+I14+I24+I30+I45+I48+I50+I55+I72+I74+I60+I76</f>
        <v>111330</v>
      </c>
      <c r="J77" s="62">
        <f>J4+J6+J14+J24+J30+J45+J48+J50+J55+J72+J74+J60+J76</f>
        <v>112801</v>
      </c>
      <c r="K77" s="11"/>
    </row>
    <row r="78" spans="1:12" ht="12.75" customHeight="1">
      <c r="A78" s="262" t="s">
        <v>87</v>
      </c>
      <c r="B78" s="331">
        <v>74</v>
      </c>
      <c r="C78" s="338"/>
      <c r="D78" s="338"/>
      <c r="E78" s="340" t="s">
        <v>108</v>
      </c>
      <c r="F78" s="341"/>
      <c r="G78" s="352">
        <f>80462+42588</f>
        <v>123050</v>
      </c>
      <c r="H78" s="352">
        <f>80462+42588+1200+12450+1280-8574</f>
        <v>129406</v>
      </c>
      <c r="I78" s="355">
        <v>29370</v>
      </c>
      <c r="J78" s="355">
        <f>29370+9029</f>
        <v>38399</v>
      </c>
      <c r="K78" s="11"/>
      <c r="L78" s="287"/>
    </row>
    <row r="79" spans="1:12" ht="12.75">
      <c r="A79" s="263"/>
      <c r="B79" s="331"/>
      <c r="C79" s="338"/>
      <c r="D79" s="338"/>
      <c r="E79" s="340"/>
      <c r="F79" s="341"/>
      <c r="G79" s="353"/>
      <c r="H79" s="353"/>
      <c r="I79" s="356"/>
      <c r="J79" s="356"/>
      <c r="K79" s="11"/>
      <c r="L79" s="287"/>
    </row>
    <row r="80" spans="1:12" ht="12.75">
      <c r="A80" s="263"/>
      <c r="B80" s="331"/>
      <c r="C80" s="338"/>
      <c r="D80" s="338"/>
      <c r="E80" s="340"/>
      <c r="F80" s="341"/>
      <c r="G80" s="353"/>
      <c r="H80" s="353"/>
      <c r="I80" s="356"/>
      <c r="J80" s="356"/>
      <c r="K80" s="11"/>
      <c r="L80" s="287"/>
    </row>
    <row r="81" spans="1:12" ht="12.75">
      <c r="A81" s="263"/>
      <c r="B81" s="331"/>
      <c r="C81" s="338"/>
      <c r="D81" s="338"/>
      <c r="E81" s="340"/>
      <c r="F81" s="341"/>
      <c r="G81" s="353"/>
      <c r="H81" s="353"/>
      <c r="I81" s="356"/>
      <c r="J81" s="356"/>
      <c r="K81" s="11"/>
      <c r="L81" s="287"/>
    </row>
    <row r="82" spans="1:12" ht="12.75">
      <c r="A82" s="263"/>
      <c r="B82" s="331"/>
      <c r="C82" s="338"/>
      <c r="D82" s="338"/>
      <c r="E82" s="340"/>
      <c r="F82" s="341"/>
      <c r="G82" s="353"/>
      <c r="H82" s="353"/>
      <c r="I82" s="356"/>
      <c r="J82" s="356"/>
      <c r="K82" s="11"/>
      <c r="L82" s="287"/>
    </row>
    <row r="83" spans="1:12" ht="12.75">
      <c r="A83" s="263"/>
      <c r="B83" s="331"/>
      <c r="C83" s="338"/>
      <c r="D83" s="338"/>
      <c r="E83" s="340"/>
      <c r="F83" s="341"/>
      <c r="G83" s="353"/>
      <c r="H83" s="353"/>
      <c r="I83" s="356"/>
      <c r="J83" s="356"/>
      <c r="K83" s="11"/>
      <c r="L83" s="287"/>
    </row>
    <row r="84" spans="1:12" ht="12.75">
      <c r="A84" s="263"/>
      <c r="B84" s="332"/>
      <c r="C84" s="339"/>
      <c r="D84" s="339"/>
      <c r="E84" s="342"/>
      <c r="F84" s="343"/>
      <c r="G84" s="354"/>
      <c r="H84" s="354"/>
      <c r="I84" s="357"/>
      <c r="J84" s="357"/>
      <c r="K84" s="11"/>
      <c r="L84" s="287"/>
    </row>
    <row r="85" spans="1:11" ht="12.75">
      <c r="A85" s="263"/>
      <c r="B85" s="5">
        <v>75</v>
      </c>
      <c r="C85" s="5"/>
      <c r="D85" s="5"/>
      <c r="E85" s="268"/>
      <c r="F85" s="335"/>
      <c r="G85" s="65"/>
      <c r="H85" s="65"/>
      <c r="I85" s="65"/>
      <c r="J85" s="65"/>
      <c r="K85" s="11"/>
    </row>
    <row r="86" spans="1:11" ht="12.75">
      <c r="A86" s="263"/>
      <c r="B86" s="5">
        <v>76</v>
      </c>
      <c r="C86" s="5"/>
      <c r="D86" s="5"/>
      <c r="E86" s="268"/>
      <c r="F86" s="335"/>
      <c r="G86" s="65"/>
      <c r="H86" s="65"/>
      <c r="I86" s="65"/>
      <c r="J86" s="65"/>
      <c r="K86" s="11"/>
    </row>
    <row r="87" spans="1:11" ht="13.5" thickBot="1">
      <c r="A87" s="325"/>
      <c r="B87" s="9">
        <v>77</v>
      </c>
      <c r="C87" s="9"/>
      <c r="D87" s="9"/>
      <c r="E87" s="336" t="s">
        <v>54</v>
      </c>
      <c r="F87" s="337"/>
      <c r="G87" s="63">
        <f>SUM(G78:G86)</f>
        <v>123050</v>
      </c>
      <c r="H87" s="63">
        <f>SUM(H78:H86)</f>
        <v>129406</v>
      </c>
      <c r="I87" s="63">
        <f>SUM(I78:I86)</f>
        <v>29370</v>
      </c>
      <c r="J87" s="63">
        <f>SUM(J78:J86)</f>
        <v>38399</v>
      </c>
      <c r="K87" s="11"/>
    </row>
    <row r="88" spans="1:11" ht="13.5" thickBot="1">
      <c r="A88" s="39"/>
      <c r="B88" s="40">
        <v>78</v>
      </c>
      <c r="C88" s="40"/>
      <c r="D88" s="40"/>
      <c r="E88" s="333" t="s">
        <v>66</v>
      </c>
      <c r="F88" s="334"/>
      <c r="G88" s="64">
        <f>G77+G87</f>
        <v>231494</v>
      </c>
      <c r="H88" s="64">
        <f>H77+H87</f>
        <v>249456</v>
      </c>
      <c r="I88" s="64">
        <f>I77+I87</f>
        <v>140700</v>
      </c>
      <c r="J88" s="64">
        <f>J77+J87</f>
        <v>151200</v>
      </c>
      <c r="K88" s="11"/>
    </row>
    <row r="89" ht="12.75">
      <c r="F89" s="48"/>
    </row>
    <row r="90" ht="12.75">
      <c r="F90" s="48" t="s">
        <v>90</v>
      </c>
    </row>
  </sheetData>
  <mergeCells count="99">
    <mergeCell ref="H78:H84"/>
    <mergeCell ref="G78:G84"/>
    <mergeCell ref="I78:I84"/>
    <mergeCell ref="J66:J67"/>
    <mergeCell ref="J69:J70"/>
    <mergeCell ref="J78:J84"/>
    <mergeCell ref="I66:I67"/>
    <mergeCell ref="E70:F70"/>
    <mergeCell ref="I69:I70"/>
    <mergeCell ref="E71:F71"/>
    <mergeCell ref="E62:F62"/>
    <mergeCell ref="H69:H70"/>
    <mergeCell ref="G69:G70"/>
    <mergeCell ref="E76:F76"/>
    <mergeCell ref="E72:F72"/>
    <mergeCell ref="E74:F74"/>
    <mergeCell ref="E73:F73"/>
    <mergeCell ref="E48:F48"/>
    <mergeCell ref="E15:F15"/>
    <mergeCell ref="L78:L84"/>
    <mergeCell ref="K69:K70"/>
    <mergeCell ref="E61:F61"/>
    <mergeCell ref="E59:F59"/>
    <mergeCell ref="E60:F60"/>
    <mergeCell ref="E63:F63"/>
    <mergeCell ref="E77:F77"/>
    <mergeCell ref="E75:F75"/>
    <mergeCell ref="C78:C84"/>
    <mergeCell ref="D78:D84"/>
    <mergeCell ref="E78:F84"/>
    <mergeCell ref="F1:J1"/>
    <mergeCell ref="E30:F30"/>
    <mergeCell ref="E35:F35"/>
    <mergeCell ref="E65:F65"/>
    <mergeCell ref="E64:F64"/>
    <mergeCell ref="E24:F24"/>
    <mergeCell ref="E33:F33"/>
    <mergeCell ref="E88:F88"/>
    <mergeCell ref="E85:F85"/>
    <mergeCell ref="E87:F87"/>
    <mergeCell ref="E86:F86"/>
    <mergeCell ref="A78:A87"/>
    <mergeCell ref="A3:A77"/>
    <mergeCell ref="E16:F16"/>
    <mergeCell ref="E17:F17"/>
    <mergeCell ref="E19:F19"/>
    <mergeCell ref="E20:F20"/>
    <mergeCell ref="E21:F21"/>
    <mergeCell ref="E69:F69"/>
    <mergeCell ref="E42:F42"/>
    <mergeCell ref="B78:B84"/>
    <mergeCell ref="E18:F18"/>
    <mergeCell ref="E27:F27"/>
    <mergeCell ref="E26:F26"/>
    <mergeCell ref="E25:F25"/>
    <mergeCell ref="E22:F22"/>
    <mergeCell ref="E23:F23"/>
    <mergeCell ref="E8:F8"/>
    <mergeCell ref="E14:F14"/>
    <mergeCell ref="E12:F12"/>
    <mergeCell ref="E13:F13"/>
    <mergeCell ref="E37:F37"/>
    <mergeCell ref="A1:E1"/>
    <mergeCell ref="E2:F2"/>
    <mergeCell ref="E9:F9"/>
    <mergeCell ref="E10:F10"/>
    <mergeCell ref="E3:F3"/>
    <mergeCell ref="E6:F6"/>
    <mergeCell ref="E7:F7"/>
    <mergeCell ref="E5:F5"/>
    <mergeCell ref="E4:F4"/>
    <mergeCell ref="E41:F41"/>
    <mergeCell ref="E38:F38"/>
    <mergeCell ref="E39:F39"/>
    <mergeCell ref="E40:F40"/>
    <mergeCell ref="B28:B29"/>
    <mergeCell ref="C28:C29"/>
    <mergeCell ref="D28:D29"/>
    <mergeCell ref="E28:E29"/>
    <mergeCell ref="E46:F46"/>
    <mergeCell ref="B66:B67"/>
    <mergeCell ref="C66:D67"/>
    <mergeCell ref="E58:F58"/>
    <mergeCell ref="E55:F55"/>
    <mergeCell ref="E54:F54"/>
    <mergeCell ref="E57:F57"/>
    <mergeCell ref="E53:F53"/>
    <mergeCell ref="E56:F56"/>
    <mergeCell ref="E52:F52"/>
    <mergeCell ref="E32:F32"/>
    <mergeCell ref="E51:F51"/>
    <mergeCell ref="E34:F34"/>
    <mergeCell ref="E49:F49"/>
    <mergeCell ref="E50:F50"/>
    <mergeCell ref="E44:F44"/>
    <mergeCell ref="E45:F45"/>
    <mergeCell ref="E47:F47"/>
    <mergeCell ref="E36:F36"/>
    <mergeCell ref="E43:F43"/>
  </mergeCells>
  <printOptions/>
  <pageMargins left="0.12" right="0.12" top="0.25" bottom="0" header="0.21" footer="0.19"/>
  <pageSetup horizontalDpi="600" verticalDpi="600" orientation="portrait" paperSize="9" scale="70" r:id="rId3"/>
  <legacyDrawing r:id="rId2"/>
</worksheet>
</file>

<file path=xl/worksheets/sheet3.xml><?xml version="1.0" encoding="utf-8"?>
<worksheet xmlns="http://schemas.openxmlformats.org/spreadsheetml/2006/main" xmlns:r="http://schemas.openxmlformats.org/officeDocument/2006/relationships">
  <dimension ref="A2:K81"/>
  <sheetViews>
    <sheetView zoomScale="75" zoomScaleNormal="75" workbookViewId="0" topLeftCell="A1">
      <selection activeCell="R31" sqref="R31"/>
    </sheetView>
  </sheetViews>
  <sheetFormatPr defaultColWidth="9.00390625" defaultRowHeight="12.75"/>
  <cols>
    <col min="1" max="1" width="4.625" style="1" customWidth="1"/>
    <col min="2" max="2" width="11.75390625" style="1" customWidth="1"/>
    <col min="3" max="3" width="5.875" style="0" customWidth="1"/>
    <col min="4" max="4" width="55.625" style="0" customWidth="1"/>
    <col min="5" max="5" width="16.375" style="0" customWidth="1"/>
    <col min="6" max="7" width="16.125" style="0" customWidth="1"/>
    <col min="8" max="8" width="15.875" style="0" customWidth="1"/>
    <col min="9" max="9" width="17.625" style="0" customWidth="1"/>
  </cols>
  <sheetData>
    <row r="1" ht="12.75"/>
    <row r="2" spans="1:4" ht="15.75">
      <c r="A2" s="369" t="s">
        <v>259</v>
      </c>
      <c r="B2" s="369"/>
      <c r="C2" s="369"/>
      <c r="D2" s="369"/>
    </row>
    <row r="3" spans="1:8" ht="16.5" thickBot="1">
      <c r="A3" s="24"/>
      <c r="B3" s="24"/>
      <c r="C3" s="24"/>
      <c r="D3" s="24"/>
      <c r="E3" s="283" t="s">
        <v>254</v>
      </c>
      <c r="F3" s="283"/>
      <c r="G3" s="283"/>
      <c r="H3" s="283"/>
    </row>
    <row r="4" spans="1:8" ht="39" customHeight="1" thickBot="1">
      <c r="A4" s="16" t="s">
        <v>27</v>
      </c>
      <c r="B4" s="13" t="s">
        <v>1</v>
      </c>
      <c r="C4" s="13" t="s">
        <v>0</v>
      </c>
      <c r="D4" s="135" t="s">
        <v>2</v>
      </c>
      <c r="E4" s="183" t="s">
        <v>210</v>
      </c>
      <c r="F4" s="54" t="s">
        <v>220</v>
      </c>
      <c r="G4" s="54" t="s">
        <v>242</v>
      </c>
      <c r="H4" s="54" t="s">
        <v>256</v>
      </c>
    </row>
    <row r="5" spans="1:9" ht="12.75">
      <c r="A5" s="14">
        <v>1</v>
      </c>
      <c r="B5" s="8">
        <v>8115</v>
      </c>
      <c r="C5" s="8"/>
      <c r="D5" s="160" t="s">
        <v>83</v>
      </c>
      <c r="E5" s="167">
        <v>-230</v>
      </c>
      <c r="F5" s="117">
        <v>-230</v>
      </c>
      <c r="G5" s="117">
        <v>-230</v>
      </c>
      <c r="H5" s="117">
        <v>-230</v>
      </c>
      <c r="I5" s="11"/>
    </row>
    <row r="6" spans="1:9" ht="12.75">
      <c r="A6" s="15">
        <v>2</v>
      </c>
      <c r="B6" s="5">
        <v>8115</v>
      </c>
      <c r="C6" s="5"/>
      <c r="D6" s="128" t="s">
        <v>70</v>
      </c>
      <c r="E6" s="142">
        <f>35793+6392</f>
        <v>42185</v>
      </c>
      <c r="F6" s="97">
        <f>35793+6392+162+897+100+20+3064+642-23</f>
        <v>47047</v>
      </c>
      <c r="G6" s="97">
        <v>42317</v>
      </c>
      <c r="H6" s="97">
        <f>42317-412</f>
        <v>41905</v>
      </c>
      <c r="I6" s="11"/>
    </row>
    <row r="7" spans="1:9" ht="12.75">
      <c r="A7" s="15">
        <v>3</v>
      </c>
      <c r="B7" s="5">
        <v>8115</v>
      </c>
      <c r="C7" s="5"/>
      <c r="D7" s="124" t="s">
        <v>104</v>
      </c>
      <c r="E7" s="115">
        <v>2420</v>
      </c>
      <c r="F7" s="100">
        <v>2420</v>
      </c>
      <c r="G7" s="97">
        <v>1930</v>
      </c>
      <c r="H7" s="100">
        <v>1930</v>
      </c>
      <c r="I7" s="11"/>
    </row>
    <row r="8" spans="1:9" ht="12.75">
      <c r="A8" s="15">
        <v>4</v>
      </c>
      <c r="B8" s="5">
        <v>8115</v>
      </c>
      <c r="C8" s="2"/>
      <c r="D8" s="124" t="s">
        <v>101</v>
      </c>
      <c r="E8" s="168">
        <v>0</v>
      </c>
      <c r="F8" s="107">
        <v>0</v>
      </c>
      <c r="G8" s="107">
        <v>0</v>
      </c>
      <c r="H8" s="107">
        <v>0</v>
      </c>
      <c r="I8" s="11"/>
    </row>
    <row r="9" spans="1:9" s="52" customFormat="1" ht="12.75" customHeight="1">
      <c r="A9" s="49">
        <v>5</v>
      </c>
      <c r="B9" s="50">
        <v>8115</v>
      </c>
      <c r="C9" s="51"/>
      <c r="D9" s="161" t="s">
        <v>102</v>
      </c>
      <c r="E9" s="169">
        <v>0</v>
      </c>
      <c r="F9" s="108">
        <v>0</v>
      </c>
      <c r="G9" s="189">
        <v>-13000</v>
      </c>
      <c r="H9" s="189">
        <f>-13000+7000</f>
        <v>-6000</v>
      </c>
      <c r="I9" s="217"/>
    </row>
    <row r="10" spans="1:9" ht="12.75">
      <c r="A10" s="15">
        <v>6</v>
      </c>
      <c r="B10" s="5">
        <v>8115</v>
      </c>
      <c r="C10" s="2"/>
      <c r="D10" s="126" t="s">
        <v>243</v>
      </c>
      <c r="E10" s="142">
        <f>-1350+1350-379</f>
        <v>-379</v>
      </c>
      <c r="F10" s="36">
        <f>-1350+1350-379+6000-6000</f>
        <v>-379</v>
      </c>
      <c r="G10" s="97">
        <v>-750</v>
      </c>
      <c r="H10" s="97">
        <f>-2035-1350+1000</f>
        <v>-2385</v>
      </c>
      <c r="I10" s="11"/>
    </row>
    <row r="11" spans="1:9" ht="12.75">
      <c r="A11" s="15">
        <v>7</v>
      </c>
      <c r="B11" s="5">
        <v>8115</v>
      </c>
      <c r="C11" s="2"/>
      <c r="D11" s="124" t="s">
        <v>122</v>
      </c>
      <c r="E11" s="170">
        <v>0</v>
      </c>
      <c r="F11" s="36">
        <v>0</v>
      </c>
      <c r="G11" s="36">
        <v>0</v>
      </c>
      <c r="H11" s="36">
        <v>0</v>
      </c>
      <c r="I11" s="11"/>
    </row>
    <row r="12" spans="1:9" ht="12.75">
      <c r="A12" s="15">
        <v>8</v>
      </c>
      <c r="B12" s="5">
        <v>8115</v>
      </c>
      <c r="C12" s="2"/>
      <c r="D12" s="162" t="s">
        <v>245</v>
      </c>
      <c r="E12" s="171">
        <f>-9080-33000+1260</f>
        <v>-40820</v>
      </c>
      <c r="F12" s="203">
        <f>-9080-33000+1260</f>
        <v>-40820</v>
      </c>
      <c r="G12" s="191">
        <f>-5086-36000+1260</f>
        <v>-39826</v>
      </c>
      <c r="H12" s="191">
        <f>-6569-40000+1260</f>
        <v>-45309</v>
      </c>
      <c r="I12" s="11"/>
    </row>
    <row r="13" spans="1:9" ht="12.75">
      <c r="A13" s="15">
        <v>9</v>
      </c>
      <c r="B13" s="5">
        <v>8115</v>
      </c>
      <c r="C13" s="2"/>
      <c r="D13" s="125" t="s">
        <v>244</v>
      </c>
      <c r="E13" s="115">
        <f>-2022-2000+4022</f>
        <v>0</v>
      </c>
      <c r="F13" s="100">
        <f>-2022-2000+4022+200-200</f>
        <v>0</v>
      </c>
      <c r="G13" s="97">
        <v>-1800</v>
      </c>
      <c r="H13" s="97">
        <f>-1301-3000+2200</f>
        <v>-2101</v>
      </c>
      <c r="I13" s="11"/>
    </row>
    <row r="14" spans="1:9" ht="12.75">
      <c r="A14" s="15">
        <v>10</v>
      </c>
      <c r="B14" s="5">
        <v>8115</v>
      </c>
      <c r="C14" s="2"/>
      <c r="D14" s="130" t="s">
        <v>233</v>
      </c>
      <c r="E14" s="115">
        <v>0</v>
      </c>
      <c r="F14" s="36">
        <v>0</v>
      </c>
      <c r="G14" s="97">
        <v>-240</v>
      </c>
      <c r="H14" s="100">
        <v>-240</v>
      </c>
      <c r="I14" s="11"/>
    </row>
    <row r="15" spans="1:9" ht="12.75">
      <c r="A15" s="15">
        <v>11</v>
      </c>
      <c r="B15" s="5">
        <v>8115</v>
      </c>
      <c r="C15" s="2"/>
      <c r="D15" s="124" t="s">
        <v>137</v>
      </c>
      <c r="E15" s="142">
        <f>-110+7</f>
        <v>-103</v>
      </c>
      <c r="F15" s="100">
        <f>-110+7-897</f>
        <v>-1000</v>
      </c>
      <c r="G15" s="97">
        <f>-979</f>
        <v>-979</v>
      </c>
      <c r="H15" s="97">
        <f>-979+9</f>
        <v>-970</v>
      </c>
      <c r="I15" s="11"/>
    </row>
    <row r="16" spans="1:9" ht="12.75">
      <c r="A16" s="15">
        <v>12</v>
      </c>
      <c r="B16" s="5">
        <v>8124</v>
      </c>
      <c r="C16" s="2"/>
      <c r="D16" s="124" t="s">
        <v>112</v>
      </c>
      <c r="E16" s="115">
        <v>0</v>
      </c>
      <c r="F16" s="36">
        <v>0</v>
      </c>
      <c r="G16" s="36">
        <v>0</v>
      </c>
      <c r="H16" s="36">
        <v>0</v>
      </c>
      <c r="I16" s="11"/>
    </row>
    <row r="17" spans="1:9" ht="12.75">
      <c r="A17" s="15">
        <v>13</v>
      </c>
      <c r="B17" s="5">
        <v>8113</v>
      </c>
      <c r="C17" s="2"/>
      <c r="D17" s="124" t="s">
        <v>123</v>
      </c>
      <c r="E17" s="115">
        <v>0</v>
      </c>
      <c r="F17" s="36">
        <v>0</v>
      </c>
      <c r="G17" s="36">
        <v>0</v>
      </c>
      <c r="H17" s="36">
        <v>0</v>
      </c>
      <c r="I17" s="11"/>
    </row>
    <row r="18" spans="1:9" ht="12.75">
      <c r="A18" s="15">
        <v>14</v>
      </c>
      <c r="B18" s="5">
        <v>8114</v>
      </c>
      <c r="C18" s="2"/>
      <c r="D18" s="124" t="s">
        <v>124</v>
      </c>
      <c r="E18" s="115">
        <v>0</v>
      </c>
      <c r="F18" s="36">
        <v>0</v>
      </c>
      <c r="G18" s="36">
        <v>0</v>
      </c>
      <c r="H18" s="36">
        <v>0</v>
      </c>
      <c r="I18" s="11"/>
    </row>
    <row r="19" spans="1:9" ht="12.75">
      <c r="A19" s="15">
        <v>15</v>
      </c>
      <c r="B19" s="101">
        <v>8124</v>
      </c>
      <c r="C19" s="102"/>
      <c r="D19" s="130" t="s">
        <v>150</v>
      </c>
      <c r="E19" s="115">
        <v>-1044</v>
      </c>
      <c r="F19" s="36">
        <v>-1044</v>
      </c>
      <c r="G19" s="36">
        <v>-1044</v>
      </c>
      <c r="H19" s="36">
        <v>-1044</v>
      </c>
      <c r="I19" s="11"/>
    </row>
    <row r="20" spans="1:9" ht="12.75">
      <c r="A20" s="15">
        <v>16</v>
      </c>
      <c r="B20" s="101">
        <v>8124</v>
      </c>
      <c r="C20" s="102"/>
      <c r="D20" s="130" t="s">
        <v>106</v>
      </c>
      <c r="E20" s="115">
        <v>0</v>
      </c>
      <c r="F20" s="36">
        <v>0</v>
      </c>
      <c r="G20" s="36">
        <v>0</v>
      </c>
      <c r="H20" s="36">
        <v>0</v>
      </c>
      <c r="I20" s="11"/>
    </row>
    <row r="21" spans="1:9" ht="12.75">
      <c r="A21" s="15">
        <v>17</v>
      </c>
      <c r="B21" s="101">
        <v>8124</v>
      </c>
      <c r="C21" s="102"/>
      <c r="D21" s="163" t="s">
        <v>232</v>
      </c>
      <c r="E21" s="115">
        <v>0</v>
      </c>
      <c r="F21" s="36">
        <v>0</v>
      </c>
      <c r="G21" s="97">
        <v>-4000</v>
      </c>
      <c r="H21" s="100">
        <v>-4000</v>
      </c>
      <c r="I21" s="11"/>
    </row>
    <row r="22" spans="1:9" ht="12.75">
      <c r="A22" s="15">
        <v>18</v>
      </c>
      <c r="B22" s="118">
        <v>8124</v>
      </c>
      <c r="C22" s="119"/>
      <c r="D22" s="163" t="s">
        <v>214</v>
      </c>
      <c r="E22" s="234">
        <v>0</v>
      </c>
      <c r="F22" s="184">
        <v>-10288</v>
      </c>
      <c r="G22" s="190">
        <f>-44901+29333</f>
        <v>-15568</v>
      </c>
      <c r="H22" s="184">
        <f>-44901+29333</f>
        <v>-15568</v>
      </c>
      <c r="I22" s="11"/>
    </row>
    <row r="23" spans="1:9" ht="12.75">
      <c r="A23" s="72">
        <v>19</v>
      </c>
      <c r="B23" s="7">
        <v>8115</v>
      </c>
      <c r="C23" s="73"/>
      <c r="D23" s="163" t="s">
        <v>171</v>
      </c>
      <c r="E23" s="235">
        <f>-18-286-17-367+20</f>
        <v>-668</v>
      </c>
      <c r="F23" s="190">
        <f>-18-286-17-367+20+97+117</f>
        <v>-454</v>
      </c>
      <c r="G23" s="190">
        <f>-293-300</f>
        <v>-593</v>
      </c>
      <c r="H23" s="190">
        <f>-293-300+27</f>
        <v>-566</v>
      </c>
      <c r="I23" s="11"/>
    </row>
    <row r="24" spans="1:9" ht="12.75">
      <c r="A24" s="72">
        <v>20</v>
      </c>
      <c r="B24" s="7">
        <v>8113</v>
      </c>
      <c r="C24" s="73"/>
      <c r="D24" s="164" t="s">
        <v>199</v>
      </c>
      <c r="E24" s="235">
        <v>42000</v>
      </c>
      <c r="F24" s="202">
        <v>42000</v>
      </c>
      <c r="G24" s="202">
        <v>0</v>
      </c>
      <c r="H24" s="202">
        <v>0</v>
      </c>
      <c r="I24" s="11"/>
    </row>
    <row r="25" spans="1:9" ht="13.5" thickBot="1">
      <c r="A25" s="31">
        <v>21</v>
      </c>
      <c r="B25" s="9">
        <v>8123</v>
      </c>
      <c r="C25" s="32"/>
      <c r="D25" s="165" t="s">
        <v>200</v>
      </c>
      <c r="E25" s="236">
        <v>23000</v>
      </c>
      <c r="F25" s="204">
        <v>23000</v>
      </c>
      <c r="G25" s="204">
        <v>0</v>
      </c>
      <c r="H25" s="204">
        <v>0</v>
      </c>
      <c r="I25" s="11"/>
    </row>
    <row r="26" spans="1:9" ht="13.5" thickBot="1">
      <c r="A26" s="16">
        <v>22</v>
      </c>
      <c r="B26" s="13"/>
      <c r="C26" s="12"/>
      <c r="D26" s="166" t="s">
        <v>69</v>
      </c>
      <c r="E26" s="172">
        <f>SUM(E5:E25)</f>
        <v>66361</v>
      </c>
      <c r="F26" s="33">
        <f>SUM(F5:F25)</f>
        <v>60252</v>
      </c>
      <c r="G26" s="33">
        <f>SUM(G5:G25)</f>
        <v>-33783</v>
      </c>
      <c r="H26" s="33">
        <f>SUM(H5:H25)</f>
        <v>-34578</v>
      </c>
      <c r="I26" s="11"/>
    </row>
    <row r="27" ht="12.75">
      <c r="I27" s="11"/>
    </row>
    <row r="28" ht="13.5" thickBot="1">
      <c r="I28" s="11"/>
    </row>
    <row r="29" spans="4:9" ht="12.75">
      <c r="D29" s="173" t="s">
        <v>56</v>
      </c>
      <c r="E29" s="176">
        <f>'příjmy 2020'!H89</f>
        <v>120833</v>
      </c>
      <c r="F29" s="18">
        <f>'příjmy 2020'!I89</f>
        <v>136384</v>
      </c>
      <c r="G29" s="18">
        <f>'příjmy 2020'!J89</f>
        <v>135983</v>
      </c>
      <c r="H29" s="18">
        <f>'příjmy 2020'!K89</f>
        <v>140778</v>
      </c>
      <c r="I29" s="11"/>
    </row>
    <row r="30" spans="4:9" ht="12.75">
      <c r="D30" s="174" t="s">
        <v>57</v>
      </c>
      <c r="E30" s="177">
        <f>'výdaje 2020'!G88</f>
        <v>231494</v>
      </c>
      <c r="F30" s="19">
        <f>'výdaje 2020'!H88</f>
        <v>249456</v>
      </c>
      <c r="G30" s="19">
        <f>'výdaje 2020'!I88</f>
        <v>140700</v>
      </c>
      <c r="H30" s="19">
        <f>'výdaje 2020'!J88</f>
        <v>151200</v>
      </c>
      <c r="I30" s="11"/>
    </row>
    <row r="31" spans="4:9" ht="12.75">
      <c r="D31" s="174" t="s">
        <v>74</v>
      </c>
      <c r="E31" s="178">
        <f>E29-E30</f>
        <v>-110661</v>
      </c>
      <c r="F31" s="17">
        <f>F29-F30</f>
        <v>-113072</v>
      </c>
      <c r="G31" s="17">
        <f>G29-G30</f>
        <v>-4717</v>
      </c>
      <c r="H31" s="17">
        <f>H29-H30</f>
        <v>-10422</v>
      </c>
      <c r="I31" s="11"/>
    </row>
    <row r="32" spans="4:9" ht="13.5" thickBot="1">
      <c r="D32" s="175" t="s">
        <v>58</v>
      </c>
      <c r="E32" s="179">
        <f>E26</f>
        <v>66361</v>
      </c>
      <c r="F32" s="20">
        <f>F26</f>
        <v>60252</v>
      </c>
      <c r="G32" s="20">
        <f>G26</f>
        <v>-33783</v>
      </c>
      <c r="H32" s="20">
        <f>H26</f>
        <v>-34578</v>
      </c>
      <c r="I32" s="11"/>
    </row>
    <row r="33" ht="12.75">
      <c r="I33" s="11"/>
    </row>
    <row r="34" ht="12.75">
      <c r="I34" s="11"/>
    </row>
    <row r="35" spans="4:9" ht="12.75">
      <c r="D35" s="92" t="s">
        <v>138</v>
      </c>
      <c r="E35">
        <f>E31+E32</f>
        <v>-44300</v>
      </c>
      <c r="F35">
        <f>F31+F32</f>
        <v>-52820</v>
      </c>
      <c r="G35">
        <f>G31+G32</f>
        <v>-38500</v>
      </c>
      <c r="H35">
        <f>H31+H32</f>
        <v>-45000</v>
      </c>
      <c r="I35" s="11"/>
    </row>
    <row r="36" ht="12.75">
      <c r="I36" s="11"/>
    </row>
    <row r="37" ht="12.75">
      <c r="I37" s="11"/>
    </row>
    <row r="38" spans="1:11" s="66" customFormat="1" ht="14.25">
      <c r="A38" s="1"/>
      <c r="B38" s="71"/>
      <c r="D38" s="90" t="s">
        <v>253</v>
      </c>
      <c r="E38" s="148">
        <v>32300</v>
      </c>
      <c r="F38" s="205">
        <f>32300+200+8320</f>
        <v>40820</v>
      </c>
      <c r="G38" s="205">
        <f>25500+13000</f>
        <v>38500</v>
      </c>
      <c r="H38" s="148">
        <f>25500+13000+6500-7000+7000</f>
        <v>45000</v>
      </c>
      <c r="I38" s="93"/>
      <c r="K38" s="93"/>
    </row>
    <row r="39" spans="1:9" s="66" customFormat="1" ht="14.25">
      <c r="A39" s="1"/>
      <c r="B39" s="1"/>
      <c r="D39" s="105" t="s">
        <v>148</v>
      </c>
      <c r="E39" s="111">
        <v>12000</v>
      </c>
      <c r="F39" s="4">
        <v>12000</v>
      </c>
      <c r="G39" s="4">
        <v>0</v>
      </c>
      <c r="H39" s="4">
        <v>0</v>
      </c>
      <c r="I39" s="93"/>
    </row>
    <row r="40" spans="1:9" s="66" customFormat="1" ht="12.75">
      <c r="A40" s="69"/>
      <c r="B40" s="69"/>
      <c r="C40" s="69"/>
      <c r="D40" s="91" t="s">
        <v>134</v>
      </c>
      <c r="E40" s="88">
        <f>SUM(E35:E39)</f>
        <v>0</v>
      </c>
      <c r="F40" s="88">
        <f>SUM(F35:F39)</f>
        <v>0</v>
      </c>
      <c r="G40" s="88">
        <f>SUM(G35:G39)</f>
        <v>0</v>
      </c>
      <c r="H40" s="88">
        <f>SUM(H35:H39)</f>
        <v>0</v>
      </c>
      <c r="I40" s="93"/>
    </row>
    <row r="41" spans="1:8" s="66" customFormat="1" ht="12.75" customHeight="1">
      <c r="A41" s="68"/>
      <c r="B41" s="83"/>
      <c r="C41" s="84"/>
      <c r="D41" s="86"/>
      <c r="E41" s="70"/>
      <c r="F41" s="70"/>
      <c r="G41" s="70"/>
      <c r="H41" s="70"/>
    </row>
    <row r="42" spans="1:8" s="66" customFormat="1" ht="14.25">
      <c r="A42" s="68" t="s">
        <v>154</v>
      </c>
      <c r="B42" s="85"/>
      <c r="C42" s="84"/>
      <c r="D42" s="84"/>
      <c r="E42" s="70"/>
      <c r="F42" s="70"/>
      <c r="G42" s="70"/>
      <c r="H42" s="70"/>
    </row>
    <row r="43" spans="1:8" s="66" customFormat="1" ht="15" thickBot="1">
      <c r="A43" s="68"/>
      <c r="B43" s="85"/>
      <c r="C43" s="84"/>
      <c r="D43" s="84"/>
      <c r="E43" s="70"/>
      <c r="F43" s="70"/>
      <c r="G43" s="70"/>
      <c r="H43" s="70"/>
    </row>
    <row r="44" spans="1:8" s="66" customFormat="1" ht="15" thickBot="1">
      <c r="A44" s="68"/>
      <c r="B44" s="85"/>
      <c r="C44" s="365" t="s">
        <v>149</v>
      </c>
      <c r="D44" s="366"/>
      <c r="E44" s="110" t="s">
        <v>147</v>
      </c>
      <c r="F44" s="70"/>
      <c r="G44" s="70"/>
      <c r="H44" s="70"/>
    </row>
    <row r="45" spans="1:8" s="66" customFormat="1" ht="15" customHeight="1">
      <c r="A45" s="68"/>
      <c r="B45" s="85"/>
      <c r="C45" s="181">
        <v>10</v>
      </c>
      <c r="D45" s="226" t="s">
        <v>240</v>
      </c>
      <c r="E45" s="206">
        <v>2500</v>
      </c>
      <c r="F45" s="219"/>
      <c r="G45" s="70"/>
      <c r="H45" s="70"/>
    </row>
    <row r="46" spans="1:8" s="66" customFormat="1" ht="15" customHeight="1">
      <c r="A46" s="68"/>
      <c r="B46" s="85"/>
      <c r="C46" s="238">
        <v>29</v>
      </c>
      <c r="D46" s="239" t="s">
        <v>247</v>
      </c>
      <c r="E46" s="240">
        <f>2000+1000</f>
        <v>3000</v>
      </c>
      <c r="F46" s="219"/>
      <c r="G46" s="70"/>
      <c r="H46" s="70"/>
    </row>
    <row r="47" spans="1:8" s="66" customFormat="1" ht="15" customHeight="1">
      <c r="A47" s="68"/>
      <c r="B47" s="85"/>
      <c r="C47" s="238">
        <v>30</v>
      </c>
      <c r="D47" s="239" t="s">
        <v>249</v>
      </c>
      <c r="E47" s="240">
        <v>5000</v>
      </c>
      <c r="F47" s="219"/>
      <c r="G47" s="70"/>
      <c r="H47" s="70"/>
    </row>
    <row r="48" spans="1:8" s="66" customFormat="1" ht="15" customHeight="1">
      <c r="A48" s="68"/>
      <c r="B48" s="85"/>
      <c r="C48" s="182">
        <v>44</v>
      </c>
      <c r="D48" s="227" t="s">
        <v>250</v>
      </c>
      <c r="E48" s="237">
        <f>4000+4000+4000</f>
        <v>12000</v>
      </c>
      <c r="F48" s="219"/>
      <c r="G48" s="70"/>
      <c r="H48" s="70"/>
    </row>
    <row r="49" spans="1:8" s="66" customFormat="1" ht="15" customHeight="1">
      <c r="A49" s="68"/>
      <c r="B49" s="85"/>
      <c r="C49" s="182">
        <v>51</v>
      </c>
      <c r="D49" s="227" t="s">
        <v>246</v>
      </c>
      <c r="E49" s="237">
        <v>4000</v>
      </c>
      <c r="F49" s="219"/>
      <c r="G49" s="70"/>
      <c r="H49" s="70"/>
    </row>
    <row r="50" spans="1:8" s="66" customFormat="1" ht="15" customHeight="1">
      <c r="A50" s="68"/>
      <c r="B50" s="85"/>
      <c r="C50" s="182">
        <v>69</v>
      </c>
      <c r="D50" s="227" t="s">
        <v>238</v>
      </c>
      <c r="E50" s="237">
        <f>15000-15000</f>
        <v>0</v>
      </c>
      <c r="F50" s="219"/>
      <c r="G50" s="70"/>
      <c r="H50" s="70"/>
    </row>
    <row r="51" spans="1:8" s="66" customFormat="1" ht="15" customHeight="1">
      <c r="A51" s="68"/>
      <c r="B51" s="85"/>
      <c r="C51" s="243">
        <v>76</v>
      </c>
      <c r="D51" s="244" t="s">
        <v>251</v>
      </c>
      <c r="E51" s="245">
        <v>1500</v>
      </c>
      <c r="F51" s="219"/>
      <c r="G51" s="70"/>
      <c r="H51" s="70"/>
    </row>
    <row r="52" spans="1:8" s="66" customFormat="1" ht="15" customHeight="1" thickBot="1">
      <c r="A52" s="68"/>
      <c r="B52" s="85"/>
      <c r="C52" s="228">
        <v>93</v>
      </c>
      <c r="D52" s="229" t="s">
        <v>239</v>
      </c>
      <c r="E52" s="207">
        <v>4000</v>
      </c>
      <c r="F52" s="219"/>
      <c r="G52" s="70"/>
      <c r="H52" s="70"/>
    </row>
    <row r="53" spans="1:8" s="66" customFormat="1" ht="15" customHeight="1" thickBot="1">
      <c r="A53" s="68"/>
      <c r="B53" s="85"/>
      <c r="C53" s="367"/>
      <c r="D53" s="368"/>
      <c r="E53" s="241">
        <f>SUM(E45:E52)</f>
        <v>32000</v>
      </c>
      <c r="F53" s="219"/>
      <c r="G53" s="70"/>
      <c r="H53" s="70"/>
    </row>
    <row r="54" spans="1:8" s="66" customFormat="1" ht="15" customHeight="1">
      <c r="A54" s="68"/>
      <c r="B54" s="85"/>
      <c r="C54" s="224"/>
      <c r="D54" s="224"/>
      <c r="E54" s="225"/>
      <c r="F54" s="219"/>
      <c r="G54" s="70"/>
      <c r="H54" s="70"/>
    </row>
    <row r="55" spans="1:8" s="66" customFormat="1" ht="15" customHeight="1">
      <c r="A55" s="68"/>
      <c r="B55" s="85"/>
      <c r="C55" s="224"/>
      <c r="D55" s="224"/>
      <c r="E55" s="225"/>
      <c r="F55" s="219"/>
      <c r="G55" s="70"/>
      <c r="H55" s="70"/>
    </row>
    <row r="56" spans="1:8" s="66" customFormat="1" ht="15" customHeight="1">
      <c r="A56" s="68"/>
      <c r="B56" s="85"/>
      <c r="C56" s="84"/>
      <c r="D56" s="84"/>
      <c r="E56" s="70"/>
      <c r="F56" s="70"/>
      <c r="G56" s="70"/>
      <c r="H56" s="70"/>
    </row>
    <row r="57" spans="1:8" s="66" customFormat="1" ht="15" customHeight="1">
      <c r="A57" s="68" t="s">
        <v>241</v>
      </c>
      <c r="B57" s="85"/>
      <c r="C57" s="84"/>
      <c r="D57" s="84"/>
      <c r="E57" s="70"/>
      <c r="F57" s="70"/>
      <c r="G57" s="70"/>
      <c r="H57" s="70"/>
    </row>
    <row r="58" spans="1:8" s="66" customFormat="1" ht="15" customHeight="1" thickBot="1">
      <c r="A58" s="68"/>
      <c r="B58" s="85"/>
      <c r="C58" s="84"/>
      <c r="D58" s="84"/>
      <c r="E58" s="70"/>
      <c r="F58" s="218"/>
      <c r="G58" s="218"/>
      <c r="H58" s="218"/>
    </row>
    <row r="59" spans="1:8" s="66" customFormat="1" ht="15" customHeight="1" thickBot="1">
      <c r="A59" s="68"/>
      <c r="B59" s="85"/>
      <c r="C59" s="360" t="s">
        <v>149</v>
      </c>
      <c r="D59" s="361"/>
      <c r="E59" s="223" t="s">
        <v>147</v>
      </c>
      <c r="F59" s="218"/>
      <c r="G59" s="218"/>
      <c r="H59" s="218"/>
    </row>
    <row r="60" spans="1:8" s="66" customFormat="1" ht="15" customHeight="1" thickBot="1">
      <c r="A60" s="68"/>
      <c r="B60" s="85"/>
      <c r="C60" s="222">
        <v>5</v>
      </c>
      <c r="D60" s="230" t="s">
        <v>102</v>
      </c>
      <c r="E60" s="242">
        <f>13000-7000</f>
        <v>6000</v>
      </c>
      <c r="F60" s="364"/>
      <c r="G60" s="364"/>
      <c r="H60" s="364"/>
    </row>
    <row r="61" spans="1:9" s="66" customFormat="1" ht="15" customHeight="1" thickBot="1">
      <c r="A61" s="68"/>
      <c r="B61" s="85"/>
      <c r="C61" s="362"/>
      <c r="D61" s="363"/>
      <c r="E61" s="251">
        <f>SUM(E60:E60)</f>
        <v>6000</v>
      </c>
      <c r="I61" s="104"/>
    </row>
    <row r="62" spans="1:9" s="66" customFormat="1" ht="15" customHeight="1">
      <c r="A62" s="1"/>
      <c r="B62" s="1"/>
      <c r="I62" s="104"/>
    </row>
    <row r="63" spans="1:9" s="66" customFormat="1" ht="15" customHeight="1">
      <c r="A63" s="1"/>
      <c r="B63" s="1"/>
      <c r="I63" s="104"/>
    </row>
    <row r="64" spans="1:9" s="66" customFormat="1" ht="15" customHeight="1">
      <c r="A64" s="1"/>
      <c r="B64" s="1"/>
      <c r="I64" s="104"/>
    </row>
    <row r="65" spans="1:9" s="66" customFormat="1" ht="15" customHeight="1">
      <c r="A65" s="68" t="s">
        <v>252</v>
      </c>
      <c r="B65" s="85"/>
      <c r="C65" s="84"/>
      <c r="D65" s="84"/>
      <c r="E65" s="70"/>
      <c r="F65" s="70"/>
      <c r="G65" s="70"/>
      <c r="H65" s="70"/>
      <c r="I65" s="104"/>
    </row>
    <row r="66" spans="1:9" s="66" customFormat="1" ht="15" customHeight="1" thickBot="1">
      <c r="A66" s="68"/>
      <c r="B66" s="85"/>
      <c r="C66" s="84"/>
      <c r="D66" s="84"/>
      <c r="E66" s="70"/>
      <c r="F66" s="218"/>
      <c r="G66" s="218"/>
      <c r="H66" s="218"/>
      <c r="I66" s="104"/>
    </row>
    <row r="67" spans="1:9" s="66" customFormat="1" ht="15" customHeight="1" thickBot="1">
      <c r="A67" s="68"/>
      <c r="B67" s="85"/>
      <c r="C67" s="365" t="s">
        <v>149</v>
      </c>
      <c r="D67" s="366"/>
      <c r="E67" s="110" t="s">
        <v>147</v>
      </c>
      <c r="F67" s="218"/>
      <c r="G67" s="218"/>
      <c r="H67" s="218"/>
      <c r="I67" s="104"/>
    </row>
    <row r="68" spans="1:9" s="66" customFormat="1" ht="15" customHeight="1">
      <c r="A68" s="68"/>
      <c r="B68" s="85"/>
      <c r="C68" s="246">
        <v>17</v>
      </c>
      <c r="D68" s="248" t="s">
        <v>232</v>
      </c>
      <c r="E68" s="250">
        <v>4000</v>
      </c>
      <c r="F68" s="218"/>
      <c r="G68" s="218"/>
      <c r="H68" s="218"/>
      <c r="I68" s="104"/>
    </row>
    <row r="69" spans="1:9" s="66" customFormat="1" ht="15" customHeight="1" thickBot="1">
      <c r="A69" s="68"/>
      <c r="B69" s="85"/>
      <c r="C69" s="228">
        <v>18</v>
      </c>
      <c r="D69" s="249" t="s">
        <v>214</v>
      </c>
      <c r="E69" s="247">
        <v>3000</v>
      </c>
      <c r="F69" s="364"/>
      <c r="G69" s="364"/>
      <c r="H69" s="364"/>
      <c r="I69" s="104"/>
    </row>
    <row r="70" spans="1:9" s="66" customFormat="1" ht="15" customHeight="1" thickBot="1">
      <c r="A70" s="68"/>
      <c r="B70" s="85"/>
      <c r="C70" s="367"/>
      <c r="D70" s="368"/>
      <c r="E70" s="241">
        <f>SUM(E68:E69)</f>
        <v>7000</v>
      </c>
      <c r="I70" s="104"/>
    </row>
    <row r="71" spans="1:9" s="66" customFormat="1" ht="12" customHeight="1">
      <c r="A71" s="1"/>
      <c r="B71" s="1"/>
      <c r="I71" s="104"/>
    </row>
    <row r="72" spans="1:9" s="66" customFormat="1" ht="12" customHeight="1">
      <c r="A72" s="1"/>
      <c r="B72" s="1"/>
      <c r="I72" s="104"/>
    </row>
    <row r="73" spans="1:9" s="66" customFormat="1" ht="12" customHeight="1">
      <c r="A73" s="1"/>
      <c r="B73" s="1"/>
      <c r="I73" s="104"/>
    </row>
    <row r="74" spans="1:9" s="66" customFormat="1" ht="12" customHeight="1">
      <c r="A74" s="1"/>
      <c r="B74" s="1"/>
      <c r="I74" s="104"/>
    </row>
    <row r="75" spans="1:9" s="66" customFormat="1" ht="12" customHeight="1">
      <c r="A75" s="1"/>
      <c r="B75" s="1"/>
      <c r="I75" s="104"/>
    </row>
    <row r="76" spans="1:9" s="66" customFormat="1" ht="12" customHeight="1">
      <c r="A76" s="1"/>
      <c r="B76" s="1"/>
      <c r="I76" s="104"/>
    </row>
    <row r="77" spans="1:9" s="66" customFormat="1" ht="12" customHeight="1">
      <c r="A77" s="1"/>
      <c r="B77" s="1"/>
      <c r="F77" s="66" t="s">
        <v>167</v>
      </c>
      <c r="I77" s="104"/>
    </row>
    <row r="78" spans="1:6" s="66" customFormat="1" ht="12.75">
      <c r="A78" s="1"/>
      <c r="B78" s="1"/>
      <c r="F78" s="66" t="s">
        <v>168</v>
      </c>
    </row>
    <row r="79" spans="1:8" s="66" customFormat="1" ht="12.75">
      <c r="A79" s="55"/>
      <c r="B79" s="67"/>
      <c r="C79" s="67"/>
      <c r="D79" s="55" t="s">
        <v>258</v>
      </c>
      <c r="E79" s="67"/>
      <c r="F79" s="67"/>
      <c r="G79" s="67"/>
      <c r="H79" s="67"/>
    </row>
    <row r="80" spans="1:8" ht="12.75">
      <c r="A80" s="359"/>
      <c r="B80" s="359"/>
      <c r="C80" s="359"/>
      <c r="D80" s="359"/>
      <c r="E80" s="359"/>
      <c r="F80" s="359"/>
      <c r="G80" s="359"/>
      <c r="H80" s="359"/>
    </row>
    <row r="81" spans="1:8" ht="12.75">
      <c r="A81" s="359" t="s">
        <v>117</v>
      </c>
      <c r="B81" s="359"/>
      <c r="C81" s="359"/>
      <c r="D81" s="359"/>
      <c r="E81" s="359"/>
      <c r="F81" s="359"/>
      <c r="G81" s="359"/>
      <c r="H81" s="359"/>
    </row>
  </sheetData>
  <mergeCells count="12">
    <mergeCell ref="A2:D2"/>
    <mergeCell ref="E3:H3"/>
    <mergeCell ref="C53:D53"/>
    <mergeCell ref="C44:D44"/>
    <mergeCell ref="A81:H81"/>
    <mergeCell ref="A80:H80"/>
    <mergeCell ref="C59:D59"/>
    <mergeCell ref="C61:D61"/>
    <mergeCell ref="F60:H60"/>
    <mergeCell ref="C67:D67"/>
    <mergeCell ref="F69:H69"/>
    <mergeCell ref="C70:D70"/>
  </mergeCells>
  <printOptions/>
  <pageMargins left="0.25" right="0" top="0.51" bottom="0.43" header="0.5118110236220472" footer="0.5118110236220472"/>
  <pageSetup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 Chrastava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Helena Kredbová</dc:creator>
  <cp:keywords/>
  <dc:description/>
  <cp:lastModifiedBy>hfoved</cp:lastModifiedBy>
  <cp:lastPrinted>2020-01-22T10:46:56Z</cp:lastPrinted>
  <dcterms:created xsi:type="dcterms:W3CDTF">2003-01-03T12:32:00Z</dcterms:created>
  <dcterms:modified xsi:type="dcterms:W3CDTF">2020-02-11T08:59:04Z</dcterms:modified>
  <cp:category/>
  <cp:version/>
  <cp:contentType/>
  <cp:contentStatus/>
</cp:coreProperties>
</file>