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2"/>
  </bookViews>
  <sheets>
    <sheet name="příjmy 2017" sheetId="1" r:id="rId1"/>
    <sheet name="výdaje 2017" sheetId="2" r:id="rId2"/>
    <sheet name="financování 2017" sheetId="3" r:id="rId3"/>
  </sheets>
  <definedNames/>
  <calcPr fullCalcOnLoad="1"/>
</workbook>
</file>

<file path=xl/comments2.xml><?xml version="1.0" encoding="utf-8"?>
<comments xmlns="http://schemas.openxmlformats.org/spreadsheetml/2006/main">
  <authors>
    <author>hfoved</author>
  </authors>
  <commentList>
    <comment ref="H2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o nevyčerpaný zůstatek minulého roku</t>
        </r>
      </text>
    </comment>
    <comment ref="H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o nevyčerpaný zůstatek minulého roku</t>
        </r>
      </text>
    </comment>
  </commentList>
</comments>
</file>

<file path=xl/comments3.xml><?xml version="1.0" encoding="utf-8"?>
<comments xmlns="http://schemas.openxmlformats.org/spreadsheetml/2006/main">
  <authors>
    <author>hfoved</author>
  </authors>
  <commentList>
    <comment ref="F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18 tis. Kč příjem z reklamních poutačů na lampách veřejného osvětlení + 286 tis. Kč nevyčerpané běžné prostředky minulého roku</t>
        </r>
      </text>
    </comment>
  </commentList>
</comments>
</file>

<file path=xl/sharedStrings.xml><?xml version="1.0" encoding="utf-8"?>
<sst xmlns="http://schemas.openxmlformats.org/spreadsheetml/2006/main" count="297" uniqueCount="263">
  <si>
    <t>§</t>
  </si>
  <si>
    <t>pol.</t>
  </si>
  <si>
    <t>text</t>
  </si>
  <si>
    <t>DPH</t>
  </si>
  <si>
    <t>DP právnických osob</t>
  </si>
  <si>
    <t>DP PO - obec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</si>
  <si>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</si>
  <si>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</si>
  <si>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</si>
  <si>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</si>
  <si>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</si>
  <si>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</si>
  <si>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listy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</si>
  <si>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</si>
  <si>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</si>
  <si>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</si>
  <si>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</si>
  <si>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</si>
  <si>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</si>
  <si>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</si>
  <si>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</si>
  <si>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</si>
  <si>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</si>
  <si>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</si>
  <si>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</si>
  <si>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</si>
  <si>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</si>
  <si>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</si>
  <si>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</si>
  <si>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</si>
  <si>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</si>
  <si>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</si>
  <si>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</si>
  <si>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</si>
  <si>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</si>
  <si>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</si>
  <si>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</si>
  <si>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</si>
  <si>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</si>
  <si>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</si>
  <si>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</si>
  <si>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</si>
  <si>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</si>
  <si>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výdaje kultura a cestovní ruch</t>
  </si>
  <si>
    <t>0601 zastupitelstvo - ostatní</t>
  </si>
  <si>
    <t>0605 pokladna, obědy</t>
  </si>
  <si>
    <t>0607 služební vozidla</t>
  </si>
  <si>
    <t>0610 úroky z půjček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</si>
  <si>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</si>
  <si>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</si>
  <si>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</si>
  <si>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</si>
  <si>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</si>
  <si>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</si>
  <si>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</si>
  <si>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Běžné výdaje celkem</t>
  </si>
  <si>
    <t>Kapitálové výdaje celkem</t>
  </si>
  <si>
    <t xml:space="preserve">                                                         běžné výdaje</t>
  </si>
  <si>
    <t>příjmy</t>
  </si>
  <si>
    <t>výdaje</t>
  </si>
  <si>
    <t>financování</t>
  </si>
  <si>
    <t>výdaje bydlení, kom. služby</t>
  </si>
  <si>
    <t>daň z příjmu fyzických osob z kap. výnosů</t>
  </si>
  <si>
    <t>příjmy les</t>
  </si>
  <si>
    <t xml:space="preserve">Vlastní příjmy celkem   </t>
  </si>
  <si>
    <t xml:space="preserve">Dotace celkem  </t>
  </si>
  <si>
    <t xml:space="preserve">Příjmy celkem </t>
  </si>
  <si>
    <t>vypoř. minulých let</t>
  </si>
  <si>
    <t xml:space="preserve">Výdaje celkem 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</si>
  <si>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</si>
  <si>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</si>
  <si>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</si>
  <si>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</si>
  <si>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</si>
  <si>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</si>
  <si>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</si>
  <si>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</si>
  <si>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</si>
  <si>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</si>
  <si>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</si>
  <si>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</si>
  <si>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</si>
  <si>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</si>
  <si>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>veterinární péče</t>
  </si>
  <si>
    <t>výdaje na veterinární péči</t>
  </si>
  <si>
    <t>čtenářské poplatky</t>
  </si>
  <si>
    <t>fond skládky</t>
  </si>
  <si>
    <t>rozvoj sportu,kultury,zájmová činnost</t>
  </si>
  <si>
    <t xml:space="preserve">škola /nájem - byty/ </t>
  </si>
  <si>
    <t>DPS - služby</t>
  </si>
  <si>
    <t xml:space="preserve">            kapitálové výdaje</t>
  </si>
  <si>
    <t>poplatek z ubytovací kapacity</t>
  </si>
  <si>
    <t>znečištění ovzd., odvod za odnětí půdy</t>
  </si>
  <si>
    <t>- 3 -</t>
  </si>
  <si>
    <t xml:space="preserve">výnosy ORM </t>
  </si>
  <si>
    <t>0329 neobsazené byty</t>
  </si>
  <si>
    <t>podpora sportovní a kulturní činnosti</t>
  </si>
  <si>
    <t>přijaté úroky</t>
  </si>
  <si>
    <t>Partnerská města</t>
  </si>
  <si>
    <t>osadní výbor Andělská Hora</t>
  </si>
  <si>
    <t>osadní výbor Vítkov</t>
  </si>
  <si>
    <t xml:space="preserve">- 2 -   </t>
  </si>
  <si>
    <t>prodej pozemků</t>
  </si>
  <si>
    <t>ostatní činnost v kultuře</t>
  </si>
  <si>
    <t>fond rezerv - spoluúčast dotačních titulů</t>
  </si>
  <si>
    <t xml:space="preserve">fond rezerv - jiné účely </t>
  </si>
  <si>
    <t>1332,34,35</t>
  </si>
  <si>
    <t>prostředky minulých let správa nemovitostí MBD</t>
  </si>
  <si>
    <t>tříděný odpad Ecokom + skládka</t>
  </si>
  <si>
    <t>investiční úvěr VB - investiční úvěr RTN - splátka</t>
  </si>
  <si>
    <t>těžební činnost - les</t>
  </si>
  <si>
    <t>viz rozpis investiční plán</t>
  </si>
  <si>
    <t xml:space="preserve">dotace na VPP úřad práce  </t>
  </si>
  <si>
    <t>povodně</t>
  </si>
  <si>
    <t>pojistné náhrady</t>
  </si>
  <si>
    <t>správa - pokuty</t>
  </si>
  <si>
    <t>SYNER - splátky dodav. úvěr - škola</t>
  </si>
  <si>
    <t>splátky úvěr VB CZ a.s. - radnice</t>
  </si>
  <si>
    <t>splátka úvěru VB CZ, a.s.- refinancování DPS</t>
  </si>
  <si>
    <t>0404 DPS, klub důchodců</t>
  </si>
  <si>
    <t>dary dle § 85 písm. b)</t>
  </si>
  <si>
    <t>správní poplatky</t>
  </si>
  <si>
    <t xml:space="preserve">příjmy z odpisů PO </t>
  </si>
  <si>
    <t xml:space="preserve">Chrastavské slavnosti </t>
  </si>
  <si>
    <t>- 4 -</t>
  </si>
  <si>
    <t>krizové situace - rezerva</t>
  </si>
  <si>
    <t>0606 DPN, DPPO - obec, DPH</t>
  </si>
  <si>
    <t>odvod z loterií</t>
  </si>
  <si>
    <t>dary, dotace zájmovým spolkům na mimořádné akce</t>
  </si>
  <si>
    <t>fond velkých investičních akcí</t>
  </si>
  <si>
    <t>odvod z VHP a jiných tech. zařízení</t>
  </si>
  <si>
    <t>kontokorentní úvěr - auto hasiči</t>
  </si>
  <si>
    <t>kontokorentní úvěr - auto hasiči - splátka</t>
  </si>
  <si>
    <t>sbor dobrovolných hasičů Chrastava</t>
  </si>
  <si>
    <t>1111-1211</t>
  </si>
  <si>
    <t xml:space="preserve">investiční dary </t>
  </si>
  <si>
    <t>příspěvky na pořízení dlouhodob.majetku</t>
  </si>
  <si>
    <t>povodně - pomoc obcím</t>
  </si>
  <si>
    <t xml:space="preserve">dotace sociální služby MPSV, KÚLK  </t>
  </si>
  <si>
    <t xml:space="preserve">prodej nemovitostí </t>
  </si>
  <si>
    <t>povodně - oprava povodňových škod MD</t>
  </si>
  <si>
    <t>fond kotelen</t>
  </si>
  <si>
    <t>fond oprav obecních bytů</t>
  </si>
  <si>
    <t>0332 technická správa - opravy komunikací, chodníků</t>
  </si>
  <si>
    <t>sankce jiným rozpočtům</t>
  </si>
  <si>
    <t>chybí</t>
  </si>
  <si>
    <t>hasiči - muzeum /vstupné/,dary,plnění poj.</t>
  </si>
  <si>
    <t>dotace MMR - Luční ul.</t>
  </si>
  <si>
    <t>volby do parlamentu EU</t>
  </si>
  <si>
    <t>ostatní příjmy, věcná břemena</t>
  </si>
  <si>
    <t xml:space="preserve">fond voda </t>
  </si>
  <si>
    <r>
      <t xml:space="preserve">MŠ Chrastava - budova </t>
    </r>
    <r>
      <rPr>
        <sz val="10"/>
        <rFont val="Arial CE"/>
        <family val="2"/>
      </rPr>
      <t>Nádražní</t>
    </r>
    <r>
      <rPr>
        <sz val="10"/>
        <rFont val="Arial CE"/>
        <family val="0"/>
      </rPr>
      <t xml:space="preserve"> - výměna oken </t>
    </r>
  </si>
  <si>
    <t>mikroprojekty - předfinancování</t>
  </si>
  <si>
    <t>0328 domovní správa + Nádražní 104</t>
  </si>
  <si>
    <t>RUD</t>
  </si>
  <si>
    <t>rozdíl saldo - financování</t>
  </si>
  <si>
    <t>UZ 90877</t>
  </si>
  <si>
    <t>dotace SFŽP - zateplení MŠ Luční</t>
  </si>
  <si>
    <t>dotace FS OPŽP - zateplení MŠ Luční</t>
  </si>
  <si>
    <t>UZ 15835</t>
  </si>
  <si>
    <t>dotace MŽP - ošetření stromu za muzeem</t>
  </si>
  <si>
    <t>6171, 6320</t>
  </si>
  <si>
    <t>dotace KÚLK - zvyšování kvality ve vzděl.</t>
  </si>
  <si>
    <t>0328 Bílokostelecká 50</t>
  </si>
  <si>
    <t>2310, 21</t>
  </si>
  <si>
    <t>prodej drobného dlouhodobého majetku</t>
  </si>
  <si>
    <t>UZ 15832</t>
  </si>
  <si>
    <t>dotace MŽP - zametací vůz</t>
  </si>
  <si>
    <t>celkové náklady</t>
  </si>
  <si>
    <t>Projekt "Rekonstrukce kina"</t>
  </si>
  <si>
    <t>Projekt "Oprava a přístavba hasičského muzea"</t>
  </si>
  <si>
    <t>Projekt "modernizace a dostavba areálu ZŠ Chrastava - Školní"</t>
  </si>
  <si>
    <t xml:space="preserve">Projekt "Sběrný dvůr Chrastava" </t>
  </si>
  <si>
    <t>Projekt "Sportovní hřiště u ZŠ a MŠ Vítkov"</t>
  </si>
  <si>
    <t>Projekt "Sociální byty - azylový dům" - PD</t>
  </si>
  <si>
    <t>CELKEM</t>
  </si>
  <si>
    <t>úvěr</t>
  </si>
  <si>
    <t>chodníky Liberecká</t>
  </si>
  <si>
    <t>chodníky Andělohorská</t>
  </si>
  <si>
    <t>název projektu</t>
  </si>
  <si>
    <t>investiční dotace TJ SPARTAK Chrastava - hala</t>
  </si>
  <si>
    <t>vl. podíl dotace OPPS CZ-PL</t>
  </si>
  <si>
    <t>vl. podíl dotace IPRÚ</t>
  </si>
  <si>
    <t>vl. podíl dotace OPŽP</t>
  </si>
  <si>
    <t>investiční úvěr ČS - sloučení všech úvěrů Sberbank</t>
  </si>
  <si>
    <t>technická správa</t>
  </si>
  <si>
    <t>0321 obřadní síň</t>
  </si>
  <si>
    <t>0322 Chrastavské slavnosti</t>
  </si>
  <si>
    <t>1) položky IP, které budou financovány z FVI - RUD,</t>
  </si>
  <si>
    <t>oprava ulice Liberecké - spoluúčast na akci LK</t>
  </si>
  <si>
    <t>2310, 2133</t>
  </si>
  <si>
    <t>2119,2329,2132</t>
  </si>
  <si>
    <t>2341, 3639</t>
  </si>
  <si>
    <t>3722-9</t>
  </si>
  <si>
    <t>vstupné muzeum, prodeje</t>
  </si>
  <si>
    <t>správa - náklady řízení, ostatní služby</t>
  </si>
  <si>
    <t>dotace od obcí /přestupky, MP Stráž/</t>
  </si>
  <si>
    <t>Společenský klub(SK, kino, knihovny, muzeum)</t>
  </si>
  <si>
    <t>Spartak Chrastava</t>
  </si>
  <si>
    <t>5229, 5192</t>
  </si>
  <si>
    <t>3419+29,3322</t>
  </si>
  <si>
    <t>ORM - § 1031, 3729, 3639, 3632, 2212, 3742</t>
  </si>
  <si>
    <t>doplacení úvěrů Sberbank - refinancování ČS</t>
  </si>
  <si>
    <t>schválený rozpočet 2016</t>
  </si>
  <si>
    <t>dotace KÚLK - Pedagogická asistence</t>
  </si>
  <si>
    <t>Ing. Michael Canov</t>
  </si>
  <si>
    <t xml:space="preserve">         starosta</t>
  </si>
  <si>
    <t>dotace KÚLK - Potravin. pomoc dětem v LK</t>
  </si>
  <si>
    <t>3313-15,92</t>
  </si>
  <si>
    <t>2321, 2341, 3341, 3721, 3722, 3745</t>
  </si>
  <si>
    <t>Spartak Chrastava - podpora odd. kopané v divizní soutěži</t>
  </si>
  <si>
    <t>UZ 113014</t>
  </si>
  <si>
    <t>fond veřejného osvětlení</t>
  </si>
  <si>
    <t>veřejné osvětlení</t>
  </si>
  <si>
    <t>částečné čerpání 40 mil. úvěru Česká spořitelna</t>
  </si>
  <si>
    <t>dotace KÚLK - přístavba požární zbrojnice</t>
  </si>
  <si>
    <t>dotace KÚLK - PD most přes Lužickou Nisu</t>
  </si>
  <si>
    <t>dotace MV - hasiči - nové auto Mercedes</t>
  </si>
  <si>
    <t>UZ 98193</t>
  </si>
  <si>
    <t>dotace na volby do zastupitelstev krajů</t>
  </si>
  <si>
    <t>volby do zastupitelstev krajů</t>
  </si>
  <si>
    <t>fond oprav obecních bytů (PS 0+2000-2000)</t>
  </si>
  <si>
    <t>2) položky IP, které budou financovány schváleným úvěrem až 40 mil. Kč.</t>
  </si>
  <si>
    <t>Projekt  "MŠ Vítkov - zateplení"</t>
  </si>
  <si>
    <t>Projekt "Hřebenovka" - cyklostezka pod Výhledy</t>
  </si>
  <si>
    <t>Projekt "Rekonstrukce veřejného osvětlení"</t>
  </si>
  <si>
    <t>možno vzít úvěr až 40 mil. Kč</t>
  </si>
  <si>
    <t>vl. podíl dotace IROP, SFDI</t>
  </si>
  <si>
    <t>vl. podíl dotace</t>
  </si>
  <si>
    <t>přechod Vítkovská (u Elektronovy)</t>
  </si>
  <si>
    <t>rekonstrukce chodníků Střelecký vrch</t>
  </si>
  <si>
    <t>rekonstrukce ul. Tovární chodník + komunikace</t>
  </si>
  <si>
    <t>příjmy z nájemného Bílokostelecká</t>
  </si>
  <si>
    <t>příjmy z nájemného Nádražní</t>
  </si>
  <si>
    <t>dotace státní správa + dotace opatrovnictví</t>
  </si>
  <si>
    <t>navýšení RUD 2017 proti 2012</t>
  </si>
  <si>
    <t>FVI - RUD (PS 2177+13000-1260+4000)</t>
  </si>
  <si>
    <t>6310-20, 6171</t>
  </si>
  <si>
    <t>0604 správa + pojištění majetku, odpovědnosti</t>
  </si>
  <si>
    <t>grant 0323,3001</t>
  </si>
  <si>
    <t xml:space="preserve">neinv. dotace a transfery(ER,MR,SMO) 0615, 2106, 0604 </t>
  </si>
  <si>
    <t>fond kotelen (PS 0+1350-1000-350)</t>
  </si>
  <si>
    <t>komunikace k Benteleru SO 105 - splátka I. etapa</t>
  </si>
  <si>
    <t>rekonstr. komunikace hřbitov-Liberecká ul. I. etapa</t>
  </si>
  <si>
    <t>rekonstr. komunikace hřbitov-Liberecká ul. II. etapa</t>
  </si>
  <si>
    <t>kluziště</t>
  </si>
  <si>
    <t>dary - Společenství pro dům č.p. 125, Chrastava</t>
  </si>
  <si>
    <t>schválený rozpočet 2017</t>
  </si>
  <si>
    <t>Příjmy - 1. změna rozpočtu 2017 - rozpočtové opatření</t>
  </si>
  <si>
    <t>ZM 10.04.2017</t>
  </si>
  <si>
    <t>Výdaje - 1. změna rozpočtu 2017 - rozpočtové opatření</t>
  </si>
  <si>
    <t>Financování - 1. změna rozpočtu 2017 - rozpočtové opatření</t>
  </si>
  <si>
    <t>1. změna rozpočtu 2017</t>
  </si>
  <si>
    <r>
      <t xml:space="preserve">1351, </t>
    </r>
    <r>
      <rPr>
        <sz val="10"/>
        <color indexed="10"/>
        <rFont val="Arial CE"/>
        <family val="0"/>
      </rPr>
      <t>1382</t>
    </r>
  </si>
  <si>
    <r>
      <t xml:space="preserve">1355, </t>
    </r>
    <r>
      <rPr>
        <sz val="10"/>
        <color indexed="10"/>
        <rFont val="Arial CE"/>
        <family val="0"/>
      </rPr>
      <t>1383</t>
    </r>
  </si>
  <si>
    <r>
      <t xml:space="preserve">prodej družstev. podílů, </t>
    </r>
    <r>
      <rPr>
        <sz val="10"/>
        <color indexed="10"/>
        <rFont val="Arial CE"/>
        <family val="0"/>
      </rPr>
      <t>likvidační zůstatek TSS a.s.</t>
    </r>
  </si>
  <si>
    <t>dotace KÚLK - PD vodovod Horní Vítkov - záloha</t>
  </si>
  <si>
    <r>
      <t>2221,</t>
    </r>
    <r>
      <rPr>
        <sz val="10"/>
        <color indexed="10"/>
        <rFont val="Arial CE"/>
        <family val="0"/>
      </rPr>
      <t xml:space="preserve"> 2292</t>
    </r>
  </si>
  <si>
    <r>
      <t xml:space="preserve">dotace KÚLK - hasiči, </t>
    </r>
    <r>
      <rPr>
        <sz val="10"/>
        <color indexed="10"/>
        <rFont val="Arial CE"/>
        <family val="0"/>
      </rPr>
      <t>lesní hospodářství</t>
    </r>
  </si>
  <si>
    <r>
      <t xml:space="preserve">dary - Oblastní Charita, </t>
    </r>
    <r>
      <rPr>
        <sz val="10"/>
        <color indexed="10"/>
        <rFont val="Arial CE"/>
        <family val="0"/>
      </rPr>
      <t>Hospic sv. Zdislavy</t>
    </r>
  </si>
  <si>
    <t>Projekt "Cyklostezka s Kolem kolem Jizerek" (Paradise 2017)</t>
  </si>
  <si>
    <t>Fond mikroprojektů</t>
  </si>
  <si>
    <t>předkládá: HFO 11.04.2017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</si>
</sst>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3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color indexed="10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Font="1" applyBorder="1" applyAlignment="1">
      <alignment/>
    </xf>
    <xf numFmtId="0" fontId="0" fillId="2" borderId="1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3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4" borderId="1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0" fillId="0" borderId="1" xfId="0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8" xfId="0" applyBorder="1" applyAlignment="1">
      <alignment/>
    </xf>
    <xf numFmtId="0" fontId="1" fillId="5" borderId="1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2" borderId="13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1" xfId="0" applyFont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12" fillId="0" borderId="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4" fillId="0" borderId="21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4" fillId="0" borderId="21" xfId="0" applyFont="1" applyBorder="1" applyAlignment="1">
      <alignment/>
    </xf>
    <xf numFmtId="0" fontId="1" fillId="4" borderId="22" xfId="0" applyFont="1" applyFill="1" applyBorder="1" applyAlignment="1">
      <alignment/>
    </xf>
    <xf numFmtId="0" fontId="1" fillId="5" borderId="23" xfId="0" applyFont="1" applyFill="1" applyBorder="1" applyAlignment="1">
      <alignment/>
    </xf>
    <xf numFmtId="0" fontId="1" fillId="3" borderId="24" xfId="0" applyFont="1" applyFill="1" applyBorder="1" applyAlignment="1">
      <alignment/>
    </xf>
    <xf numFmtId="0" fontId="0" fillId="0" borderId="25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7" fillId="0" borderId="2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0" fillId="0" borderId="2" xfId="0" applyBorder="1" applyAlignment="1">
      <alignment/>
    </xf>
    <xf numFmtId="0" fontId="16" fillId="0" borderId="0" xfId="0" applyFont="1" applyAlignment="1">
      <alignment horizontal="center"/>
    </xf>
    <xf numFmtId="0" fontId="0" fillId="0" borderId="27" xfId="0" applyBorder="1" applyAlignment="1">
      <alignment/>
    </xf>
    <xf numFmtId="0" fontId="0" fillId="0" borderId="27" xfId="0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2" fillId="0" borderId="9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15" fillId="0" borderId="0" xfId="0" applyFont="1" applyAlignment="1">
      <alignment/>
    </xf>
    <xf numFmtId="0" fontId="2" fillId="0" borderId="0" xfId="0" applyFont="1" applyAlignment="1">
      <alignment horizontal="left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 wrapText="1"/>
    </xf>
    <xf numFmtId="0" fontId="0" fillId="6" borderId="1" xfId="0" applyFill="1" applyBorder="1" applyAlignment="1">
      <alignment/>
    </xf>
    <xf numFmtId="0" fontId="0" fillId="6" borderId="0" xfId="0" applyFill="1" applyAlignment="1">
      <alignment/>
    </xf>
    <xf numFmtId="0" fontId="4" fillId="0" borderId="29" xfId="0" applyFont="1" applyBorder="1" applyAlignment="1">
      <alignment/>
    </xf>
    <xf numFmtId="0" fontId="0" fillId="6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0" fontId="16" fillId="0" borderId="9" xfId="0" applyFont="1" applyFill="1" applyBorder="1" applyAlignment="1">
      <alignment/>
    </xf>
    <xf numFmtId="0" fontId="16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9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/>
    </xf>
    <xf numFmtId="0" fontId="2" fillId="0" borderId="33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/>
    </xf>
    <xf numFmtId="0" fontId="19" fillId="0" borderId="35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29" xfId="0" applyBorder="1" applyAlignment="1">
      <alignment/>
    </xf>
    <xf numFmtId="0" fontId="16" fillId="0" borderId="18" xfId="0" applyFont="1" applyBorder="1" applyAlignment="1">
      <alignment/>
    </xf>
    <xf numFmtId="0" fontId="16" fillId="0" borderId="21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16" fillId="6" borderId="9" xfId="0" applyFont="1" applyFill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6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0" fillId="0" borderId="21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right"/>
    </xf>
    <xf numFmtId="0" fontId="0" fillId="0" borderId="25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19" fillId="0" borderId="34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41" fontId="15" fillId="0" borderId="40" xfId="0" applyNumberFormat="1" applyFont="1" applyBorder="1" applyAlignment="1">
      <alignment horizontal="center"/>
    </xf>
    <xf numFmtId="0" fontId="0" fillId="0" borderId="9" xfId="0" applyFont="1" applyFill="1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21" xfId="0" applyFont="1" applyFill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9" fillId="0" borderId="31" xfId="0" applyFont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41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19" fillId="0" borderId="25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9" xfId="0" applyFill="1" applyBorder="1" applyAlignment="1">
      <alignment/>
    </xf>
    <xf numFmtId="0" fontId="12" fillId="0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4" borderId="43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5" borderId="36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5" xfId="0" applyFont="1" applyFill="1" applyBorder="1" applyAlignment="1">
      <alignment vertical="center"/>
    </xf>
    <xf numFmtId="0" fontId="1" fillId="0" borderId="25" xfId="0" applyFont="1" applyBorder="1" applyAlignment="1">
      <alignment/>
    </xf>
    <xf numFmtId="0" fontId="1" fillId="4" borderId="23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16" fillId="0" borderId="25" xfId="0" applyFont="1" applyFill="1" applyBorder="1" applyAlignment="1">
      <alignment vertical="center"/>
    </xf>
    <xf numFmtId="0" fontId="16" fillId="0" borderId="25" xfId="0" applyFont="1" applyFill="1" applyBorder="1" applyAlignment="1">
      <alignment/>
    </xf>
    <xf numFmtId="0" fontId="1" fillId="5" borderId="44" xfId="0" applyFont="1" applyFill="1" applyBorder="1" applyAlignment="1">
      <alignment/>
    </xf>
    <xf numFmtId="0" fontId="1" fillId="2" borderId="45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46" xfId="0" applyFont="1" applyBorder="1" applyAlignment="1">
      <alignment horizontal="left"/>
    </xf>
    <xf numFmtId="0" fontId="16" fillId="7" borderId="9" xfId="0" applyFont="1" applyFill="1" applyBorder="1" applyAlignment="1">
      <alignment/>
    </xf>
    <xf numFmtId="0" fontId="16" fillId="7" borderId="21" xfId="0" applyFont="1" applyFill="1" applyBorder="1" applyAlignment="1">
      <alignment vertical="center"/>
    </xf>
    <xf numFmtId="0" fontId="16" fillId="7" borderId="21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6" fillId="0" borderId="45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/>
    </xf>
    <xf numFmtId="0" fontId="16" fillId="0" borderId="25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left"/>
    </xf>
    <xf numFmtId="0" fontId="19" fillId="0" borderId="44" xfId="0" applyFont="1" applyFill="1" applyBorder="1" applyAlignment="1">
      <alignment horizontal="center"/>
    </xf>
    <xf numFmtId="0" fontId="0" fillId="6" borderId="9" xfId="0" applyFont="1" applyFill="1" applyBorder="1" applyAlignment="1">
      <alignment/>
    </xf>
    <xf numFmtId="0" fontId="16" fillId="6" borderId="0" xfId="0" applyFont="1" applyFill="1" applyAlignment="1">
      <alignment/>
    </xf>
    <xf numFmtId="0" fontId="19" fillId="0" borderId="47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19" xfId="0" applyFont="1" applyBorder="1" applyAlignment="1">
      <alignment horizontal="center" textRotation="90"/>
    </xf>
    <xf numFmtId="0" fontId="2" fillId="5" borderId="28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26" xfId="0" applyBorder="1" applyAlignment="1">
      <alignment horizontal="center" textRotation="90"/>
    </xf>
    <xf numFmtId="0" fontId="0" fillId="0" borderId="44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49" xfId="0" applyBorder="1" applyAlignment="1">
      <alignment horizontal="right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Font="1" applyFill="1" applyBorder="1" applyAlignment="1">
      <alignment horizontal="right" vertical="center"/>
    </xf>
    <xf numFmtId="0" fontId="0" fillId="0" borderId="48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right" vertical="center"/>
    </xf>
    <xf numFmtId="0" fontId="0" fillId="0" borderId="36" xfId="0" applyBorder="1" applyAlignment="1">
      <alignment/>
    </xf>
    <xf numFmtId="0" fontId="0" fillId="0" borderId="42" xfId="0" applyFont="1" applyBorder="1" applyAlignment="1">
      <alignment horizontal="center" textRotation="90"/>
    </xf>
    <xf numFmtId="0" fontId="0" fillId="0" borderId="42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9" xfId="0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43" xfId="0" applyBorder="1" applyAlignment="1">
      <alignment textRotation="90"/>
    </xf>
    <xf numFmtId="0" fontId="2" fillId="4" borderId="28" xfId="0" applyFont="1" applyFill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16" fillId="0" borderId="50" xfId="0" applyFont="1" applyFill="1" applyBorder="1" applyAlignment="1">
      <alignment vertical="center"/>
    </xf>
    <xf numFmtId="0" fontId="16" fillId="0" borderId="48" xfId="0" applyFont="1" applyFill="1" applyBorder="1" applyAlignment="1">
      <alignment/>
    </xf>
    <xf numFmtId="0" fontId="16" fillId="0" borderId="38" xfId="0" applyFont="1" applyFill="1" applyBorder="1" applyAlignment="1">
      <alignment/>
    </xf>
    <xf numFmtId="0" fontId="0" fillId="0" borderId="49" xfId="0" applyBorder="1" applyAlignment="1">
      <alignment/>
    </xf>
    <xf numFmtId="0" fontId="4" fillId="0" borderId="19" xfId="0" applyFont="1" applyBorder="1" applyAlignment="1">
      <alignment/>
    </xf>
    <xf numFmtId="0" fontId="0" fillId="0" borderId="21" xfId="0" applyBorder="1" applyAlignment="1">
      <alignment/>
    </xf>
    <xf numFmtId="0" fontId="16" fillId="7" borderId="50" xfId="0" applyFont="1" applyFill="1" applyBorder="1" applyAlignment="1">
      <alignment vertical="center"/>
    </xf>
    <xf numFmtId="0" fontId="16" fillId="7" borderId="48" xfId="0" applyFont="1" applyFill="1" applyBorder="1" applyAlignment="1">
      <alignment/>
    </xf>
    <xf numFmtId="0" fontId="16" fillId="7" borderId="38" xfId="0" applyFont="1" applyFill="1" applyBorder="1" applyAlignment="1">
      <alignment/>
    </xf>
    <xf numFmtId="0" fontId="16" fillId="0" borderId="50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6" fillId="0" borderId="44" xfId="0" applyFont="1" applyFill="1" applyBorder="1" applyAlignment="1">
      <alignment horizontal="right"/>
    </xf>
    <xf numFmtId="0" fontId="16" fillId="0" borderId="38" xfId="0" applyFont="1" applyFill="1" applyBorder="1" applyAlignment="1">
      <alignment horizontal="right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9" xfId="0" applyBorder="1" applyAlignment="1">
      <alignment vertical="center"/>
    </xf>
    <xf numFmtId="0" fontId="1" fillId="3" borderId="27" xfId="0" applyFont="1" applyFill="1" applyBorder="1" applyAlignment="1">
      <alignment/>
    </xf>
    <xf numFmtId="0" fontId="0" fillId="0" borderId="20" xfId="0" applyBorder="1" applyAlignment="1">
      <alignment/>
    </xf>
    <xf numFmtId="0" fontId="1" fillId="5" borderId="43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 horizontal="center" textRotation="90"/>
    </xf>
    <xf numFmtId="0" fontId="2" fillId="4" borderId="56" xfId="0" applyFont="1" applyFill="1" applyBorder="1" applyAlignment="1">
      <alignment textRotation="90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14" xfId="0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5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61" xfId="0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" fillId="4" borderId="43" xfId="0" applyFont="1" applyFill="1" applyBorder="1" applyAlignment="1">
      <alignment/>
    </xf>
    <xf numFmtId="0" fontId="4" fillId="0" borderId="21" xfId="0" applyFont="1" applyBorder="1" applyAlignment="1">
      <alignment/>
    </xf>
    <xf numFmtId="0" fontId="0" fillId="0" borderId="44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39" xfId="0" applyFill="1" applyBorder="1" applyAlignment="1">
      <alignment/>
    </xf>
    <xf numFmtId="0" fontId="19" fillId="0" borderId="4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2" fillId="0" borderId="6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9" fillId="0" borderId="44" xfId="0" applyFont="1" applyBorder="1" applyAlignment="1">
      <alignment horizontal="center" shrinkToFit="1"/>
    </xf>
    <xf numFmtId="0" fontId="19" fillId="0" borderId="38" xfId="0" applyFont="1" applyBorder="1" applyAlignment="1">
      <alignment horizontal="center" shrinkToFi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5" fillId="0" borderId="62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textRotation="90"/>
    </xf>
    <xf numFmtId="0" fontId="19" fillId="0" borderId="48" xfId="0" applyFont="1" applyFill="1" applyBorder="1" applyAlignment="1">
      <alignment horizontal="center" vertical="center" textRotation="90"/>
    </xf>
    <xf numFmtId="0" fontId="19" fillId="0" borderId="24" xfId="0" applyFont="1" applyFill="1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zoomScale="75" zoomScaleNormal="75" workbookViewId="0" topLeftCell="D1">
      <pane xSplit="4" ySplit="3" topLeftCell="H46" activePane="bottomRight" state="frozen"/>
      <selection pane="topLeft" activeCell="D1" sqref="D1"/>
      <selection pane="topRight" activeCell="H1" sqref="H1"/>
      <selection pane="bottomLeft" activeCell="D4" sqref="D4"/>
      <selection pane="bottomRight" activeCell="J94" sqref="J94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5" customWidth="1"/>
    <col min="5" max="5" width="14.00390625" style="1" bestFit="1" customWidth="1"/>
    <col min="6" max="6" width="10.625" style="1" customWidth="1"/>
    <col min="7" max="7" width="46.75390625" style="0" customWidth="1"/>
    <col min="8" max="8" width="16.625" style="0" customWidth="1"/>
    <col min="9" max="9" width="17.375" style="0" customWidth="1"/>
    <col min="10" max="10" width="18.625" style="0" customWidth="1"/>
  </cols>
  <sheetData>
    <row r="1" spans="1:7" ht="12.75">
      <c r="A1" s="28"/>
      <c r="B1" s="12"/>
      <c r="C1" s="12"/>
      <c r="D1" s="29"/>
      <c r="E1" s="30"/>
      <c r="G1" s="96"/>
    </row>
    <row r="2" spans="1:10" ht="16.5" thickBot="1">
      <c r="A2" s="244" t="s">
        <v>248</v>
      </c>
      <c r="B2" s="245"/>
      <c r="C2" s="245"/>
      <c r="D2" s="245"/>
      <c r="E2" s="245"/>
      <c r="F2" s="245"/>
      <c r="G2" s="246"/>
      <c r="H2" s="243" t="s">
        <v>249</v>
      </c>
      <c r="I2" s="243"/>
      <c r="J2" s="243"/>
    </row>
    <row r="3" spans="1:10" ht="53.25" customHeight="1" thickBot="1">
      <c r="A3" s="52"/>
      <c r="B3" s="13"/>
      <c r="C3" s="97"/>
      <c r="D3" s="99" t="s">
        <v>27</v>
      </c>
      <c r="E3" s="15" t="s">
        <v>1</v>
      </c>
      <c r="F3" s="15" t="s">
        <v>0</v>
      </c>
      <c r="G3" s="221" t="s">
        <v>2</v>
      </c>
      <c r="H3" s="222" t="s">
        <v>203</v>
      </c>
      <c r="I3" s="65" t="s">
        <v>247</v>
      </c>
      <c r="J3" s="65" t="s">
        <v>252</v>
      </c>
    </row>
    <row r="4" spans="1:10" ht="14.25" customHeight="1">
      <c r="A4" s="259" t="s">
        <v>36</v>
      </c>
      <c r="B4" s="234" t="s">
        <v>35</v>
      </c>
      <c r="C4" s="251" t="s">
        <v>33</v>
      </c>
      <c r="D4" s="100">
        <v>1</v>
      </c>
      <c r="E4" s="50">
        <v>1111</v>
      </c>
      <c r="F4" s="50"/>
      <c r="G4" s="185" t="s">
        <v>31</v>
      </c>
      <c r="H4" s="200">
        <f>14000-4000</f>
        <v>10000</v>
      </c>
      <c r="I4" s="200">
        <f>14000-4000</f>
        <v>10000</v>
      </c>
      <c r="J4" s="200">
        <f>14000-4000</f>
        <v>10000</v>
      </c>
    </row>
    <row r="5" spans="1:10" ht="12.75">
      <c r="A5" s="260"/>
      <c r="B5" s="235"/>
      <c r="C5" s="231"/>
      <c r="D5" s="101">
        <v>2</v>
      </c>
      <c r="E5" s="6">
        <v>1112</v>
      </c>
      <c r="F5" s="6"/>
      <c r="G5" s="186" t="s">
        <v>32</v>
      </c>
      <c r="H5" s="201">
        <v>500</v>
      </c>
      <c r="I5" s="128">
        <v>500</v>
      </c>
      <c r="J5" s="128">
        <v>500</v>
      </c>
    </row>
    <row r="6" spans="1:10" ht="12.75">
      <c r="A6" s="260"/>
      <c r="B6" s="235"/>
      <c r="C6" s="231"/>
      <c r="D6" s="101">
        <v>3</v>
      </c>
      <c r="E6" s="6">
        <v>1113</v>
      </c>
      <c r="F6" s="6"/>
      <c r="G6" s="186" t="s">
        <v>62</v>
      </c>
      <c r="H6" s="201">
        <f>1500-500</f>
        <v>1000</v>
      </c>
      <c r="I6" s="128">
        <f>1500-500</f>
        <v>1000</v>
      </c>
      <c r="J6" s="128">
        <f>1500-500</f>
        <v>1000</v>
      </c>
    </row>
    <row r="7" spans="1:10" ht="12.75">
      <c r="A7" s="260"/>
      <c r="B7" s="235"/>
      <c r="C7" s="231"/>
      <c r="D7" s="101">
        <v>4</v>
      </c>
      <c r="E7" s="6">
        <v>1211</v>
      </c>
      <c r="F7" s="6"/>
      <c r="G7" s="186" t="s">
        <v>3</v>
      </c>
      <c r="H7" s="201">
        <f>29000-7500</f>
        <v>21500</v>
      </c>
      <c r="I7" s="128">
        <f>29000-7500</f>
        <v>21500</v>
      </c>
      <c r="J7" s="128">
        <f>29000-7500</f>
        <v>21500</v>
      </c>
    </row>
    <row r="8" spans="1:10" ht="12.75">
      <c r="A8" s="260"/>
      <c r="B8" s="235"/>
      <c r="C8" s="231"/>
      <c r="D8" s="101">
        <v>5</v>
      </c>
      <c r="E8" s="6">
        <v>1121</v>
      </c>
      <c r="F8" s="6"/>
      <c r="G8" s="186" t="s">
        <v>4</v>
      </c>
      <c r="H8" s="201">
        <f>15000-5000</f>
        <v>10000</v>
      </c>
      <c r="I8" s="128">
        <f>15000-5000</f>
        <v>10000</v>
      </c>
      <c r="J8" s="128">
        <f>15000-5000</f>
        <v>10000</v>
      </c>
    </row>
    <row r="9" spans="1:10" ht="12.75">
      <c r="A9" s="260"/>
      <c r="B9" s="235"/>
      <c r="C9" s="231"/>
      <c r="D9" s="101">
        <v>6</v>
      </c>
      <c r="E9" s="64" t="s">
        <v>134</v>
      </c>
      <c r="F9" s="6"/>
      <c r="G9" s="186" t="s">
        <v>235</v>
      </c>
      <c r="H9" s="201">
        <v>13000</v>
      </c>
      <c r="I9" s="126">
        <f>13000+4000</f>
        <v>17000</v>
      </c>
      <c r="J9" s="128">
        <f>13000+4000</f>
        <v>17000</v>
      </c>
    </row>
    <row r="10" spans="1:10" ht="12.75">
      <c r="A10" s="260"/>
      <c r="B10" s="235"/>
      <c r="C10" s="231"/>
      <c r="D10" s="101">
        <v>7</v>
      </c>
      <c r="E10" s="6">
        <v>1122</v>
      </c>
      <c r="F10" s="6"/>
      <c r="G10" s="187" t="s">
        <v>5</v>
      </c>
      <c r="H10" s="201">
        <v>2000</v>
      </c>
      <c r="I10" s="128">
        <v>2000</v>
      </c>
      <c r="J10" s="126">
        <f>2000-153</f>
        <v>1847</v>
      </c>
    </row>
    <row r="11" spans="1:10" ht="12.75">
      <c r="A11" s="260"/>
      <c r="B11" s="235"/>
      <c r="C11" s="231"/>
      <c r="D11" s="101">
        <v>8</v>
      </c>
      <c r="E11" s="64" t="s">
        <v>106</v>
      </c>
      <c r="F11" s="6"/>
      <c r="G11" s="186" t="s">
        <v>92</v>
      </c>
      <c r="H11" s="201">
        <v>4</v>
      </c>
      <c r="I11" s="128">
        <v>4</v>
      </c>
      <c r="J11" s="128">
        <v>4</v>
      </c>
    </row>
    <row r="12" spans="1:10" ht="12.75">
      <c r="A12" s="260"/>
      <c r="B12" s="235"/>
      <c r="C12" s="231"/>
      <c r="D12" s="101">
        <v>9</v>
      </c>
      <c r="E12" s="6">
        <v>1340</v>
      </c>
      <c r="F12" s="6"/>
      <c r="G12" s="186" t="s">
        <v>6</v>
      </c>
      <c r="H12" s="201">
        <v>3200</v>
      </c>
      <c r="I12" s="128">
        <v>3200</v>
      </c>
      <c r="J12" s="128">
        <v>3200</v>
      </c>
    </row>
    <row r="13" spans="1:10" ht="12.75">
      <c r="A13" s="260"/>
      <c r="B13" s="235"/>
      <c r="C13" s="231"/>
      <c r="D13" s="101">
        <v>10</v>
      </c>
      <c r="E13" s="6">
        <v>1341</v>
      </c>
      <c r="F13" s="6"/>
      <c r="G13" s="186" t="s">
        <v>7</v>
      </c>
      <c r="H13" s="201">
        <v>240</v>
      </c>
      <c r="I13" s="128">
        <v>200</v>
      </c>
      <c r="J13" s="128">
        <v>200</v>
      </c>
    </row>
    <row r="14" spans="1:10" ht="12.75" customHeight="1">
      <c r="A14" s="260"/>
      <c r="B14" s="235"/>
      <c r="C14" s="231"/>
      <c r="D14" s="101">
        <v>11</v>
      </c>
      <c r="E14" s="6">
        <v>1343</v>
      </c>
      <c r="F14" s="6"/>
      <c r="G14" s="186" t="s">
        <v>8</v>
      </c>
      <c r="H14" s="201">
        <v>10</v>
      </c>
      <c r="I14" s="128">
        <v>5</v>
      </c>
      <c r="J14" s="128">
        <v>5</v>
      </c>
    </row>
    <row r="15" spans="1:10" ht="12.75">
      <c r="A15" s="260"/>
      <c r="B15" s="235"/>
      <c r="C15" s="231"/>
      <c r="D15" s="101">
        <v>12</v>
      </c>
      <c r="E15" s="6">
        <v>1344</v>
      </c>
      <c r="F15" s="6"/>
      <c r="G15" s="186" t="s">
        <v>9</v>
      </c>
      <c r="H15" s="201">
        <v>5</v>
      </c>
      <c r="I15" s="128">
        <v>5</v>
      </c>
      <c r="J15" s="128">
        <v>5</v>
      </c>
    </row>
    <row r="16" spans="1:10" ht="12.75">
      <c r="A16" s="260"/>
      <c r="B16" s="235"/>
      <c r="C16" s="231"/>
      <c r="D16" s="101">
        <v>13</v>
      </c>
      <c r="E16" s="6">
        <v>1345</v>
      </c>
      <c r="F16" s="6"/>
      <c r="G16" s="186" t="s">
        <v>91</v>
      </c>
      <c r="H16" s="201">
        <v>40</v>
      </c>
      <c r="I16" s="128">
        <v>40</v>
      </c>
      <c r="J16" s="128">
        <v>40</v>
      </c>
    </row>
    <row r="17" spans="1:10" ht="12.75">
      <c r="A17" s="260"/>
      <c r="B17" s="235"/>
      <c r="C17" s="231"/>
      <c r="D17" s="101">
        <v>14</v>
      </c>
      <c r="E17" s="6" t="s">
        <v>254</v>
      </c>
      <c r="F17" s="6"/>
      <c r="G17" s="186" t="s">
        <v>130</v>
      </c>
      <c r="H17" s="201">
        <f>1800</f>
        <v>1800</v>
      </c>
      <c r="I17" s="128">
        <v>1800</v>
      </c>
      <c r="J17" s="128">
        <v>1800</v>
      </c>
    </row>
    <row r="18" spans="1:12" ht="12.75">
      <c r="A18" s="260"/>
      <c r="B18" s="235"/>
      <c r="C18" s="231"/>
      <c r="D18" s="101">
        <v>15</v>
      </c>
      <c r="E18" s="6" t="s">
        <v>253</v>
      </c>
      <c r="F18" s="6"/>
      <c r="G18" s="186" t="s">
        <v>127</v>
      </c>
      <c r="H18" s="201">
        <v>200</v>
      </c>
      <c r="I18" s="128">
        <v>200</v>
      </c>
      <c r="J18" s="128">
        <v>200</v>
      </c>
      <c r="K18" s="177"/>
      <c r="L18" s="178"/>
    </row>
    <row r="19" spans="1:10" ht="12.75">
      <c r="A19" s="260"/>
      <c r="B19" s="235"/>
      <c r="C19" s="231"/>
      <c r="D19" s="101">
        <v>16</v>
      </c>
      <c r="E19" s="6">
        <v>1361</v>
      </c>
      <c r="F19" s="6"/>
      <c r="G19" s="186" t="s">
        <v>121</v>
      </c>
      <c r="H19" s="201">
        <v>500</v>
      </c>
      <c r="I19" s="128">
        <v>500</v>
      </c>
      <c r="J19" s="128">
        <v>500</v>
      </c>
    </row>
    <row r="20" spans="1:10" ht="12.75">
      <c r="A20" s="260"/>
      <c r="B20" s="235"/>
      <c r="C20" s="231"/>
      <c r="D20" s="101">
        <v>17</v>
      </c>
      <c r="E20" s="6">
        <v>1511</v>
      </c>
      <c r="F20" s="6"/>
      <c r="G20" s="188" t="s">
        <v>10</v>
      </c>
      <c r="H20" s="201">
        <f>8150</f>
        <v>8150</v>
      </c>
      <c r="I20" s="128">
        <v>8150</v>
      </c>
      <c r="J20" s="128">
        <v>8150</v>
      </c>
    </row>
    <row r="21" spans="1:10" ht="12.75">
      <c r="A21" s="260"/>
      <c r="B21" s="235"/>
      <c r="C21" s="231"/>
      <c r="D21" s="101">
        <v>18</v>
      </c>
      <c r="E21" s="6"/>
      <c r="F21" s="6"/>
      <c r="G21" s="189" t="s">
        <v>28</v>
      </c>
      <c r="H21" s="202">
        <f>SUM(H4:H20)</f>
        <v>72149</v>
      </c>
      <c r="I21" s="42">
        <f>SUM(I4:I20)</f>
        <v>76104</v>
      </c>
      <c r="J21" s="42">
        <f>SUM(J4:J20)</f>
        <v>75951</v>
      </c>
    </row>
    <row r="22" spans="1:11" ht="12.75">
      <c r="A22" s="260"/>
      <c r="B22" s="235"/>
      <c r="C22" s="236" t="s">
        <v>34</v>
      </c>
      <c r="D22" s="101">
        <v>19</v>
      </c>
      <c r="E22" s="6"/>
      <c r="F22" s="6">
        <v>1032</v>
      </c>
      <c r="G22" s="188" t="s">
        <v>110</v>
      </c>
      <c r="H22" s="203">
        <v>600</v>
      </c>
      <c r="I22" s="34">
        <v>600</v>
      </c>
      <c r="J22" s="34">
        <v>600</v>
      </c>
      <c r="K22" s="124"/>
    </row>
    <row r="23" spans="1:10" ht="12.75">
      <c r="A23" s="260"/>
      <c r="B23" s="235"/>
      <c r="C23" s="231"/>
      <c r="D23" s="101">
        <v>20</v>
      </c>
      <c r="E23" s="6"/>
      <c r="F23" s="6"/>
      <c r="G23" s="190" t="s">
        <v>63</v>
      </c>
      <c r="H23" s="204">
        <f>SUM(H22)</f>
        <v>600</v>
      </c>
      <c r="I23" s="43">
        <f>SUM(I22)</f>
        <v>600</v>
      </c>
      <c r="J23" s="43">
        <f>SUM(J22)</f>
        <v>600</v>
      </c>
    </row>
    <row r="24" spans="1:10" ht="12.75">
      <c r="A24" s="260"/>
      <c r="B24" s="235"/>
      <c r="C24" s="231"/>
      <c r="D24" s="101">
        <v>21</v>
      </c>
      <c r="E24" s="6">
        <v>2122</v>
      </c>
      <c r="F24" s="6" t="s">
        <v>40</v>
      </c>
      <c r="G24" s="191" t="s">
        <v>122</v>
      </c>
      <c r="H24" s="201">
        <v>1737</v>
      </c>
      <c r="I24" s="128">
        <f>164+483+338+787</f>
        <v>1772</v>
      </c>
      <c r="J24" s="128">
        <f>164+483+338+787</f>
        <v>1772</v>
      </c>
    </row>
    <row r="25" spans="1:10" ht="12.75">
      <c r="A25" s="260"/>
      <c r="B25" s="235"/>
      <c r="C25" s="231"/>
      <c r="D25" s="101">
        <v>22</v>
      </c>
      <c r="E25" s="4">
        <v>2132</v>
      </c>
      <c r="F25" s="6">
        <v>3113.9</v>
      </c>
      <c r="G25" s="186" t="s">
        <v>88</v>
      </c>
      <c r="H25" s="203">
        <v>0</v>
      </c>
      <c r="I25" s="34">
        <v>0</v>
      </c>
      <c r="J25" s="34">
        <v>0</v>
      </c>
    </row>
    <row r="26" spans="1:10" ht="12.75">
      <c r="A26" s="260"/>
      <c r="B26" s="235"/>
      <c r="C26" s="231"/>
      <c r="D26" s="101">
        <v>23</v>
      </c>
      <c r="E26" s="4"/>
      <c r="F26" s="6"/>
      <c r="G26" s="186"/>
      <c r="H26" s="203"/>
      <c r="I26" s="34"/>
      <c r="J26" s="34"/>
    </row>
    <row r="27" spans="1:10" ht="12.75">
      <c r="A27" s="260"/>
      <c r="B27" s="235"/>
      <c r="C27" s="231"/>
      <c r="D27" s="101">
        <v>24</v>
      </c>
      <c r="E27" s="6"/>
      <c r="F27" s="6"/>
      <c r="G27" s="190" t="s">
        <v>11</v>
      </c>
      <c r="H27" s="205">
        <f>SUM(H24:H26)</f>
        <v>1737</v>
      </c>
      <c r="I27" s="44">
        <f>SUM(I24:I26)</f>
        <v>1772</v>
      </c>
      <c r="J27" s="44">
        <f>SUM(J24:J26)</f>
        <v>1772</v>
      </c>
    </row>
    <row r="28" spans="1:10" ht="12.75">
      <c r="A28" s="260"/>
      <c r="B28" s="235"/>
      <c r="C28" s="231"/>
      <c r="D28" s="101">
        <v>25</v>
      </c>
      <c r="E28" s="6"/>
      <c r="F28" s="6">
        <v>3314</v>
      </c>
      <c r="G28" s="186" t="s">
        <v>85</v>
      </c>
      <c r="H28" s="203">
        <v>30</v>
      </c>
      <c r="I28" s="34">
        <v>30</v>
      </c>
      <c r="J28" s="34">
        <v>30</v>
      </c>
    </row>
    <row r="29" spans="1:10" ht="12.75">
      <c r="A29" s="260"/>
      <c r="B29" s="235"/>
      <c r="C29" s="231"/>
      <c r="D29" s="101">
        <v>26</v>
      </c>
      <c r="E29" s="6"/>
      <c r="F29" s="6">
        <v>3315</v>
      </c>
      <c r="G29" s="186" t="s">
        <v>194</v>
      </c>
      <c r="H29" s="203">
        <v>55</v>
      </c>
      <c r="I29" s="34">
        <v>55</v>
      </c>
      <c r="J29" s="34">
        <v>55</v>
      </c>
    </row>
    <row r="30" spans="1:10" ht="12.75">
      <c r="A30" s="260"/>
      <c r="B30" s="235"/>
      <c r="C30" s="231"/>
      <c r="D30" s="101">
        <v>27</v>
      </c>
      <c r="E30" s="6"/>
      <c r="F30" s="6">
        <v>3319</v>
      </c>
      <c r="G30" s="186" t="s">
        <v>123</v>
      </c>
      <c r="H30" s="201">
        <v>130</v>
      </c>
      <c r="I30" s="128">
        <v>130</v>
      </c>
      <c r="J30" s="128">
        <v>130</v>
      </c>
    </row>
    <row r="31" spans="1:10" ht="12.75">
      <c r="A31" s="260"/>
      <c r="B31" s="235"/>
      <c r="C31" s="231"/>
      <c r="D31" s="101">
        <v>28</v>
      </c>
      <c r="E31" s="6"/>
      <c r="F31" s="6">
        <v>3349</v>
      </c>
      <c r="G31" s="186" t="s">
        <v>12</v>
      </c>
      <c r="H31" s="206">
        <v>100</v>
      </c>
      <c r="I31" s="145">
        <v>100</v>
      </c>
      <c r="J31" s="145">
        <v>100</v>
      </c>
    </row>
    <row r="32" spans="1:10" ht="12.75">
      <c r="A32" s="260"/>
      <c r="B32" s="235"/>
      <c r="C32" s="231"/>
      <c r="D32" s="101">
        <v>29</v>
      </c>
      <c r="E32" s="6"/>
      <c r="F32" s="161">
        <v>3313.3392</v>
      </c>
      <c r="G32" s="186" t="s">
        <v>13</v>
      </c>
      <c r="H32" s="201">
        <v>700</v>
      </c>
      <c r="I32" s="128">
        <f>400+300</f>
        <v>700</v>
      </c>
      <c r="J32" s="128">
        <f>400+300</f>
        <v>700</v>
      </c>
    </row>
    <row r="33" spans="1:10" ht="12.75">
      <c r="A33" s="260"/>
      <c r="B33" s="235"/>
      <c r="C33" s="231"/>
      <c r="D33" s="101">
        <v>30</v>
      </c>
      <c r="E33" s="46"/>
      <c r="F33" s="6"/>
      <c r="G33" s="186"/>
      <c r="H33" s="207"/>
      <c r="I33" s="35"/>
      <c r="J33" s="35"/>
    </row>
    <row r="34" spans="1:10" ht="12.75">
      <c r="A34" s="260"/>
      <c r="B34" s="235"/>
      <c r="C34" s="231"/>
      <c r="D34" s="101">
        <v>31</v>
      </c>
      <c r="E34" s="6"/>
      <c r="F34" s="6"/>
      <c r="G34" s="190" t="s">
        <v>14</v>
      </c>
      <c r="H34" s="204">
        <f>SUM(H28:H33)</f>
        <v>1015</v>
      </c>
      <c r="I34" s="43">
        <f>SUM(I28:I33)</f>
        <v>1015</v>
      </c>
      <c r="J34" s="43">
        <f>SUM(J28:J33)</f>
        <v>1015</v>
      </c>
    </row>
    <row r="35" spans="1:10" ht="12.75">
      <c r="A35" s="260"/>
      <c r="B35" s="235"/>
      <c r="C35" s="231"/>
      <c r="D35" s="101">
        <v>32</v>
      </c>
      <c r="E35" s="6"/>
      <c r="F35" s="6">
        <v>3612</v>
      </c>
      <c r="G35" s="191" t="s">
        <v>69</v>
      </c>
      <c r="H35" s="247">
        <v>11530</v>
      </c>
      <c r="I35" s="240">
        <v>11063</v>
      </c>
      <c r="J35" s="240">
        <v>11063</v>
      </c>
    </row>
    <row r="36" spans="1:10" ht="12.75">
      <c r="A36" s="260"/>
      <c r="B36" s="235"/>
      <c r="C36" s="231"/>
      <c r="D36" s="101">
        <v>33</v>
      </c>
      <c r="E36" s="6"/>
      <c r="F36" s="6">
        <v>3612</v>
      </c>
      <c r="G36" s="192" t="s">
        <v>233</v>
      </c>
      <c r="H36" s="248"/>
      <c r="I36" s="241"/>
      <c r="J36" s="241"/>
    </row>
    <row r="37" spans="1:10" ht="12.75">
      <c r="A37" s="260"/>
      <c r="B37" s="235"/>
      <c r="C37" s="231"/>
      <c r="D37" s="101">
        <v>34</v>
      </c>
      <c r="E37" s="6"/>
      <c r="F37" s="6">
        <v>3612</v>
      </c>
      <c r="G37" s="192" t="s">
        <v>232</v>
      </c>
      <c r="H37" s="249"/>
      <c r="I37" s="242"/>
      <c r="J37" s="242"/>
    </row>
    <row r="38" spans="1:10" ht="12.75">
      <c r="A38" s="260"/>
      <c r="B38" s="235"/>
      <c r="C38" s="231"/>
      <c r="D38" s="101">
        <v>35</v>
      </c>
      <c r="E38" s="6"/>
      <c r="F38" s="6">
        <v>3632</v>
      </c>
      <c r="G38" s="186" t="s">
        <v>15</v>
      </c>
      <c r="H38" s="203">
        <v>100</v>
      </c>
      <c r="I38" s="34">
        <v>100</v>
      </c>
      <c r="J38" s="34">
        <v>100</v>
      </c>
    </row>
    <row r="39" spans="1:10" ht="12.75">
      <c r="A39" s="260"/>
      <c r="B39" s="235"/>
      <c r="C39" s="231"/>
      <c r="D39" s="101">
        <v>36</v>
      </c>
      <c r="E39" s="6"/>
      <c r="F39" s="6">
        <v>3639</v>
      </c>
      <c r="G39" s="186" t="s">
        <v>94</v>
      </c>
      <c r="H39" s="203">
        <v>50</v>
      </c>
      <c r="I39" s="34">
        <v>50</v>
      </c>
      <c r="J39" s="34">
        <v>50</v>
      </c>
    </row>
    <row r="40" spans="1:10" ht="12.75">
      <c r="A40" s="260"/>
      <c r="B40" s="235"/>
      <c r="C40" s="231"/>
      <c r="D40" s="101">
        <v>37</v>
      </c>
      <c r="E40" s="6"/>
      <c r="F40" s="6">
        <v>3639</v>
      </c>
      <c r="G40" s="186" t="s">
        <v>81</v>
      </c>
      <c r="H40" s="208">
        <v>1350</v>
      </c>
      <c r="I40" s="38">
        <v>1350</v>
      </c>
      <c r="J40" s="38">
        <v>1350</v>
      </c>
    </row>
    <row r="41" spans="1:10" ht="12.75">
      <c r="A41" s="260"/>
      <c r="B41" s="235"/>
      <c r="C41" s="231"/>
      <c r="D41" s="101">
        <v>38</v>
      </c>
      <c r="E41" s="6"/>
      <c r="F41" s="161" t="s">
        <v>192</v>
      </c>
      <c r="G41" s="186" t="s">
        <v>82</v>
      </c>
      <c r="H41" s="208">
        <v>400</v>
      </c>
      <c r="I41" s="38">
        <v>400</v>
      </c>
      <c r="J41" s="38">
        <v>400</v>
      </c>
    </row>
    <row r="42" spans="1:10" ht="12.75">
      <c r="A42" s="260"/>
      <c r="B42" s="235"/>
      <c r="C42" s="231"/>
      <c r="D42" s="101">
        <v>39</v>
      </c>
      <c r="E42" s="6"/>
      <c r="F42" s="6" t="s">
        <v>193</v>
      </c>
      <c r="G42" s="186" t="s">
        <v>108</v>
      </c>
      <c r="H42" s="203">
        <v>200</v>
      </c>
      <c r="I42" s="34">
        <v>200</v>
      </c>
      <c r="J42" s="34">
        <v>200</v>
      </c>
    </row>
    <row r="43" spans="1:10" ht="12.75">
      <c r="A43" s="260"/>
      <c r="B43" s="235"/>
      <c r="C43" s="231"/>
      <c r="D43" s="101">
        <v>40</v>
      </c>
      <c r="E43" s="6"/>
      <c r="F43" s="6"/>
      <c r="G43" s="190" t="s">
        <v>16</v>
      </c>
      <c r="H43" s="204">
        <f>SUM(H35:H42)</f>
        <v>13630</v>
      </c>
      <c r="I43" s="43">
        <f>SUM(I35:I42)</f>
        <v>13163</v>
      </c>
      <c r="J43" s="43">
        <f>SUM(J35:J42)</f>
        <v>13163</v>
      </c>
    </row>
    <row r="44" spans="1:10" ht="12.75">
      <c r="A44" s="260"/>
      <c r="B44" s="235"/>
      <c r="C44" s="231"/>
      <c r="D44" s="101">
        <v>41</v>
      </c>
      <c r="E44" s="6">
        <v>2212</v>
      </c>
      <c r="F44" s="6">
        <v>5311</v>
      </c>
      <c r="G44" s="186" t="s">
        <v>17</v>
      </c>
      <c r="H44" s="203">
        <f>40+40</f>
        <v>80</v>
      </c>
      <c r="I44" s="128">
        <v>60</v>
      </c>
      <c r="J44" s="128">
        <v>60</v>
      </c>
    </row>
    <row r="45" spans="1:10" ht="12.75">
      <c r="A45" s="260"/>
      <c r="B45" s="235"/>
      <c r="C45" s="231"/>
      <c r="D45" s="101">
        <v>42</v>
      </c>
      <c r="E45" s="6">
        <v>2212</v>
      </c>
      <c r="F45" s="6">
        <v>6171</v>
      </c>
      <c r="G45" s="186" t="s">
        <v>115</v>
      </c>
      <c r="H45" s="203">
        <v>30</v>
      </c>
      <c r="I45" s="128">
        <v>40</v>
      </c>
      <c r="J45" s="128">
        <v>40</v>
      </c>
    </row>
    <row r="46" spans="1:10" ht="12.75">
      <c r="A46" s="260"/>
      <c r="B46" s="235"/>
      <c r="C46" s="231"/>
      <c r="D46" s="101">
        <v>43</v>
      </c>
      <c r="E46" s="6">
        <v>2111</v>
      </c>
      <c r="F46" s="6">
        <v>6171</v>
      </c>
      <c r="G46" s="186" t="s">
        <v>195</v>
      </c>
      <c r="H46" s="203">
        <v>30</v>
      </c>
      <c r="I46" s="34">
        <v>30</v>
      </c>
      <c r="J46" s="34">
        <v>30</v>
      </c>
    </row>
    <row r="47" spans="1:10" ht="12.75">
      <c r="A47" s="260"/>
      <c r="B47" s="235"/>
      <c r="C47" s="231"/>
      <c r="D47" s="101">
        <v>44</v>
      </c>
      <c r="E47" s="6"/>
      <c r="F47" s="6"/>
      <c r="G47" s="190" t="s">
        <v>18</v>
      </c>
      <c r="H47" s="204">
        <f>SUM(H44:H46)</f>
        <v>140</v>
      </c>
      <c r="I47" s="43">
        <f>SUM(I44:I46)</f>
        <v>130</v>
      </c>
      <c r="J47" s="43">
        <f>SUM(J44:J46)</f>
        <v>130</v>
      </c>
    </row>
    <row r="48" spans="1:10" ht="12.75">
      <c r="A48" s="260"/>
      <c r="B48" s="235"/>
      <c r="C48" s="231"/>
      <c r="D48" s="101">
        <v>45</v>
      </c>
      <c r="E48" s="6">
        <v>2111</v>
      </c>
      <c r="F48" s="6">
        <v>4351</v>
      </c>
      <c r="G48" s="188" t="s">
        <v>89</v>
      </c>
      <c r="H48" s="203">
        <v>250</v>
      </c>
      <c r="I48" s="128">
        <v>300</v>
      </c>
      <c r="J48" s="128">
        <v>300</v>
      </c>
    </row>
    <row r="49" spans="1:10" ht="12.75">
      <c r="A49" s="260"/>
      <c r="B49" s="235"/>
      <c r="C49" s="231"/>
      <c r="D49" s="101">
        <v>46</v>
      </c>
      <c r="E49" s="6"/>
      <c r="F49" s="6">
        <v>5512</v>
      </c>
      <c r="G49" s="186" t="s">
        <v>146</v>
      </c>
      <c r="H49" s="203">
        <v>30</v>
      </c>
      <c r="I49" s="128">
        <v>30</v>
      </c>
      <c r="J49" s="128">
        <v>30</v>
      </c>
    </row>
    <row r="50" spans="1:10" ht="12.75">
      <c r="A50" s="260"/>
      <c r="B50" s="235"/>
      <c r="C50" s="231"/>
      <c r="D50" s="101">
        <v>47</v>
      </c>
      <c r="E50" s="6">
        <v>2141</v>
      </c>
      <c r="F50" s="6">
        <v>6310</v>
      </c>
      <c r="G50" s="186" t="s">
        <v>97</v>
      </c>
      <c r="H50" s="203">
        <v>100</v>
      </c>
      <c r="I50" s="128">
        <v>15</v>
      </c>
      <c r="J50" s="128">
        <v>15</v>
      </c>
    </row>
    <row r="51" spans="1:13" ht="12.75">
      <c r="A51" s="260"/>
      <c r="B51" s="235"/>
      <c r="C51" s="231"/>
      <c r="D51" s="101">
        <v>48</v>
      </c>
      <c r="E51" s="6">
        <v>2322</v>
      </c>
      <c r="F51" s="161" t="s">
        <v>161</v>
      </c>
      <c r="G51" s="186" t="s">
        <v>114</v>
      </c>
      <c r="H51" s="203">
        <v>0</v>
      </c>
      <c r="I51" s="128">
        <v>0</v>
      </c>
      <c r="J51" s="126">
        <v>42</v>
      </c>
      <c r="K51" s="124"/>
      <c r="L51" s="124"/>
      <c r="M51" s="124"/>
    </row>
    <row r="52" spans="1:10" ht="12.75">
      <c r="A52" s="260"/>
      <c r="B52" s="235"/>
      <c r="C52" s="231"/>
      <c r="D52" s="101">
        <v>49</v>
      </c>
      <c r="E52" s="161" t="s">
        <v>190</v>
      </c>
      <c r="F52" s="131">
        <v>6171</v>
      </c>
      <c r="G52" s="193" t="s">
        <v>165</v>
      </c>
      <c r="H52" s="202">
        <v>0</v>
      </c>
      <c r="I52" s="42">
        <v>0</v>
      </c>
      <c r="J52" s="42">
        <v>0</v>
      </c>
    </row>
    <row r="53" spans="1:10" ht="12.75">
      <c r="A53" s="260"/>
      <c r="B53" s="235"/>
      <c r="C53" s="231"/>
      <c r="D53" s="101">
        <v>50</v>
      </c>
      <c r="E53" s="6"/>
      <c r="F53" s="6"/>
      <c r="G53" s="186"/>
      <c r="H53" s="203">
        <v>0</v>
      </c>
      <c r="I53" s="34">
        <v>0</v>
      </c>
      <c r="J53" s="34">
        <v>0</v>
      </c>
    </row>
    <row r="54" spans="1:10" ht="12.75">
      <c r="A54" s="260"/>
      <c r="B54" s="235"/>
      <c r="C54" s="231"/>
      <c r="D54" s="101">
        <v>51</v>
      </c>
      <c r="E54" s="64" t="s">
        <v>191</v>
      </c>
      <c r="F54" s="6">
        <v>6171</v>
      </c>
      <c r="G54" s="186" t="s">
        <v>149</v>
      </c>
      <c r="H54" s="203">
        <v>150</v>
      </c>
      <c r="I54" s="34">
        <v>150</v>
      </c>
      <c r="J54" s="34">
        <v>150</v>
      </c>
    </row>
    <row r="55" spans="1:10" ht="12.75">
      <c r="A55" s="260"/>
      <c r="B55" s="235"/>
      <c r="C55" s="231"/>
      <c r="D55" s="101">
        <v>52</v>
      </c>
      <c r="E55" s="4"/>
      <c r="F55" s="6"/>
      <c r="G55" s="186"/>
      <c r="H55" s="203">
        <v>0</v>
      </c>
      <c r="I55" s="34">
        <v>0</v>
      </c>
      <c r="J55" s="34">
        <v>0</v>
      </c>
    </row>
    <row r="56" spans="1:10" ht="12.75">
      <c r="A56" s="260"/>
      <c r="B56" s="235"/>
      <c r="C56" s="231"/>
      <c r="D56" s="101">
        <v>53</v>
      </c>
      <c r="E56" s="6"/>
      <c r="F56" s="6"/>
      <c r="G56" s="186"/>
      <c r="H56" s="203">
        <v>0</v>
      </c>
      <c r="I56" s="34">
        <v>0</v>
      </c>
      <c r="J56" s="34">
        <v>0</v>
      </c>
    </row>
    <row r="57" spans="1:10" ht="12.75">
      <c r="A57" s="260"/>
      <c r="B57" s="235"/>
      <c r="C57" s="231"/>
      <c r="D57" s="101">
        <v>54</v>
      </c>
      <c r="E57" s="6"/>
      <c r="F57" s="6"/>
      <c r="G57" s="190" t="s">
        <v>19</v>
      </c>
      <c r="H57" s="204">
        <f>SUM(H48:H56)</f>
        <v>530</v>
      </c>
      <c r="I57" s="43">
        <f>SUM(I48:I56)</f>
        <v>495</v>
      </c>
      <c r="J57" s="43">
        <f>SUM(J48:J56)</f>
        <v>537</v>
      </c>
    </row>
    <row r="58" spans="1:10" ht="12.75">
      <c r="A58" s="260"/>
      <c r="B58" s="235"/>
      <c r="C58" s="231"/>
      <c r="D58" s="101">
        <v>55</v>
      </c>
      <c r="E58" s="6"/>
      <c r="F58" s="6"/>
      <c r="G58" s="189" t="s">
        <v>20</v>
      </c>
      <c r="H58" s="202">
        <f>H23+H27+H34+H43+H47+H57</f>
        <v>17652</v>
      </c>
      <c r="I58" s="42">
        <f>I23+I27+I34+I43+I47+I57</f>
        <v>17175</v>
      </c>
      <c r="J58" s="42">
        <f>J23+J27+J34+J43+J47+J57</f>
        <v>17217</v>
      </c>
    </row>
    <row r="59" spans="1:10" ht="12.75">
      <c r="A59" s="260"/>
      <c r="B59" s="235"/>
      <c r="C59" s="231"/>
      <c r="D59" s="101">
        <v>56</v>
      </c>
      <c r="E59" s="6"/>
      <c r="F59" s="6"/>
      <c r="G59" s="189" t="s">
        <v>25</v>
      </c>
      <c r="H59" s="202">
        <f>H21+H58</f>
        <v>89801</v>
      </c>
      <c r="I59" s="42">
        <f>I21+I58</f>
        <v>93279</v>
      </c>
      <c r="J59" s="42">
        <f>J21+J58</f>
        <v>93168</v>
      </c>
    </row>
    <row r="60" spans="1:10" ht="12.75" customHeight="1">
      <c r="A60" s="260"/>
      <c r="B60" s="232" t="s">
        <v>21</v>
      </c>
      <c r="C60" s="255"/>
      <c r="D60" s="101">
        <v>57</v>
      </c>
      <c r="E60" s="6">
        <v>3111</v>
      </c>
      <c r="F60" s="7">
        <v>3639</v>
      </c>
      <c r="G60" s="188" t="s">
        <v>102</v>
      </c>
      <c r="H60" s="203">
        <v>200</v>
      </c>
      <c r="I60" s="34">
        <v>200</v>
      </c>
      <c r="J60" s="34">
        <v>200</v>
      </c>
    </row>
    <row r="61" spans="1:10" ht="12.75" customHeight="1">
      <c r="A61" s="260"/>
      <c r="B61" s="256"/>
      <c r="C61" s="255"/>
      <c r="D61" s="101">
        <v>58</v>
      </c>
      <c r="E61" s="6">
        <v>3112</v>
      </c>
      <c r="F61" s="7">
        <v>3639</v>
      </c>
      <c r="G61" s="187" t="s">
        <v>139</v>
      </c>
      <c r="H61" s="203">
        <v>0</v>
      </c>
      <c r="I61" s="34">
        <v>0</v>
      </c>
      <c r="J61" s="34">
        <v>0</v>
      </c>
    </row>
    <row r="62" spans="1:10" ht="12.75" customHeight="1">
      <c r="A62" s="260"/>
      <c r="B62" s="256"/>
      <c r="C62" s="255"/>
      <c r="D62" s="101">
        <v>59</v>
      </c>
      <c r="E62" s="6">
        <v>3121</v>
      </c>
      <c r="F62" s="7"/>
      <c r="G62" s="187" t="s">
        <v>135</v>
      </c>
      <c r="H62" s="203">
        <v>0</v>
      </c>
      <c r="I62" s="34">
        <v>0</v>
      </c>
      <c r="J62" s="34">
        <v>0</v>
      </c>
    </row>
    <row r="63" spans="1:10" ht="12.75" customHeight="1">
      <c r="A63" s="260"/>
      <c r="B63" s="256"/>
      <c r="C63" s="255"/>
      <c r="D63" s="101">
        <v>60</v>
      </c>
      <c r="E63" s="6">
        <v>3202</v>
      </c>
      <c r="F63" s="7"/>
      <c r="G63" s="187" t="s">
        <v>255</v>
      </c>
      <c r="H63" s="203">
        <v>0</v>
      </c>
      <c r="I63" s="128">
        <v>0</v>
      </c>
      <c r="J63" s="126">
        <v>1374</v>
      </c>
    </row>
    <row r="64" spans="1:10" ht="12.75" customHeight="1">
      <c r="A64" s="260"/>
      <c r="B64" s="256"/>
      <c r="C64" s="255"/>
      <c r="D64" s="101">
        <v>61</v>
      </c>
      <c r="E64" s="6">
        <v>3122</v>
      </c>
      <c r="F64" s="7"/>
      <c r="G64" s="187" t="s">
        <v>136</v>
      </c>
      <c r="H64" s="203">
        <v>0</v>
      </c>
      <c r="I64" s="34">
        <v>0</v>
      </c>
      <c r="J64" s="34">
        <v>0</v>
      </c>
    </row>
    <row r="65" spans="1:10" ht="12.75" customHeight="1">
      <c r="A65" s="260"/>
      <c r="B65" s="256"/>
      <c r="C65" s="255"/>
      <c r="D65" s="101">
        <v>62</v>
      </c>
      <c r="E65" s="6"/>
      <c r="F65" s="7"/>
      <c r="G65" s="194" t="s">
        <v>26</v>
      </c>
      <c r="H65" s="209">
        <f>SUM(H60:H64)</f>
        <v>200</v>
      </c>
      <c r="I65" s="33">
        <f>SUM(I60:I64)</f>
        <v>200</v>
      </c>
      <c r="J65" s="33">
        <f>SUM(J60:J64)</f>
        <v>1574</v>
      </c>
    </row>
    <row r="66" spans="1:10" ht="12.75" customHeight="1" thickBot="1">
      <c r="A66" s="261"/>
      <c r="B66" s="257"/>
      <c r="C66" s="258"/>
      <c r="D66" s="102">
        <v>63</v>
      </c>
      <c r="E66" s="10"/>
      <c r="F66" s="11"/>
      <c r="G66" s="195" t="s">
        <v>64</v>
      </c>
      <c r="H66" s="210">
        <f>H59+H65</f>
        <v>90001</v>
      </c>
      <c r="I66" s="36">
        <f>I59+I65</f>
        <v>93479</v>
      </c>
      <c r="J66" s="36">
        <f>J59+J65</f>
        <v>94742</v>
      </c>
    </row>
    <row r="67" spans="1:10" ht="12.75" customHeight="1">
      <c r="A67" s="237" t="s">
        <v>24</v>
      </c>
      <c r="B67" s="234" t="s">
        <v>29</v>
      </c>
      <c r="C67" s="252"/>
      <c r="D67" s="100">
        <v>64</v>
      </c>
      <c r="E67" s="50"/>
      <c r="F67" s="50"/>
      <c r="G67" s="196"/>
      <c r="H67" s="211">
        <v>0</v>
      </c>
      <c r="I67" s="51">
        <v>0</v>
      </c>
      <c r="J67" s="51">
        <v>0</v>
      </c>
    </row>
    <row r="68" spans="1:10" ht="12.75">
      <c r="A68" s="238"/>
      <c r="B68" s="253"/>
      <c r="C68" s="254"/>
      <c r="D68" s="101">
        <v>65</v>
      </c>
      <c r="E68" s="6">
        <v>4112</v>
      </c>
      <c r="F68" s="6"/>
      <c r="G68" s="187" t="s">
        <v>234</v>
      </c>
      <c r="H68" s="212">
        <f>4904-136</f>
        <v>4768</v>
      </c>
      <c r="I68" s="173">
        <f>5016+58</f>
        <v>5074</v>
      </c>
      <c r="J68" s="173">
        <f>5016+58</f>
        <v>5074</v>
      </c>
    </row>
    <row r="69" spans="1:10" ht="12.75">
      <c r="A69" s="238"/>
      <c r="B69" s="253"/>
      <c r="C69" s="254"/>
      <c r="D69" s="101">
        <v>66</v>
      </c>
      <c r="E69" s="6">
        <v>4116</v>
      </c>
      <c r="F69" s="6">
        <v>3742</v>
      </c>
      <c r="G69" s="187" t="s">
        <v>160</v>
      </c>
      <c r="H69" s="208">
        <v>0</v>
      </c>
      <c r="I69" s="38">
        <v>0</v>
      </c>
      <c r="J69" s="38">
        <v>0</v>
      </c>
    </row>
    <row r="70" spans="1:10" ht="12.75">
      <c r="A70" s="238"/>
      <c r="B70" s="253"/>
      <c r="C70" s="254"/>
      <c r="D70" s="101">
        <v>67</v>
      </c>
      <c r="E70" s="6">
        <v>4116.22</v>
      </c>
      <c r="F70" s="6"/>
      <c r="G70" s="68" t="s">
        <v>138</v>
      </c>
      <c r="H70" s="208">
        <v>500</v>
      </c>
      <c r="I70" s="38">
        <v>500</v>
      </c>
      <c r="J70" s="38">
        <v>500</v>
      </c>
    </row>
    <row r="71" spans="1:10" ht="12.75">
      <c r="A71" s="238"/>
      <c r="B71" s="253"/>
      <c r="C71" s="254"/>
      <c r="D71" s="101">
        <v>68</v>
      </c>
      <c r="E71" s="6">
        <v>4116</v>
      </c>
      <c r="F71" s="6"/>
      <c r="G71" s="68" t="s">
        <v>112</v>
      </c>
      <c r="H71" s="213">
        <f>2000+500</f>
        <v>2500</v>
      </c>
      <c r="I71" s="128">
        <v>2500</v>
      </c>
      <c r="J71" s="128">
        <v>2500</v>
      </c>
    </row>
    <row r="72" spans="1:10" ht="12.75">
      <c r="A72" s="238"/>
      <c r="B72" s="253"/>
      <c r="C72" s="254"/>
      <c r="D72" s="101">
        <v>69</v>
      </c>
      <c r="E72" s="6">
        <v>4111</v>
      </c>
      <c r="F72" s="6" t="s">
        <v>218</v>
      </c>
      <c r="G72" s="68" t="s">
        <v>219</v>
      </c>
      <c r="H72" s="203">
        <v>0</v>
      </c>
      <c r="I72" s="128">
        <v>0</v>
      </c>
      <c r="J72" s="128">
        <v>0</v>
      </c>
    </row>
    <row r="73" spans="1:10" ht="12.75">
      <c r="A73" s="238"/>
      <c r="B73" s="253"/>
      <c r="C73" s="254"/>
      <c r="D73" s="101">
        <v>70</v>
      </c>
      <c r="E73" s="6">
        <v>4121</v>
      </c>
      <c r="F73" s="6"/>
      <c r="G73" s="68" t="s">
        <v>196</v>
      </c>
      <c r="H73" s="201">
        <v>606</v>
      </c>
      <c r="I73" s="128">
        <v>606</v>
      </c>
      <c r="J73" s="128">
        <v>606</v>
      </c>
    </row>
    <row r="74" spans="1:10" ht="12.75">
      <c r="A74" s="238"/>
      <c r="B74" s="253"/>
      <c r="C74" s="254"/>
      <c r="D74" s="101">
        <v>71</v>
      </c>
      <c r="E74" s="6">
        <v>4116</v>
      </c>
      <c r="F74" s="6"/>
      <c r="G74" s="68" t="s">
        <v>147</v>
      </c>
      <c r="H74" s="203">
        <v>0</v>
      </c>
      <c r="I74" s="34">
        <v>0</v>
      </c>
      <c r="J74" s="34">
        <v>0</v>
      </c>
    </row>
    <row r="75" spans="1:10" ht="12.75">
      <c r="A75" s="238"/>
      <c r="B75" s="253"/>
      <c r="C75" s="254"/>
      <c r="D75" s="101">
        <v>72</v>
      </c>
      <c r="E75" s="6">
        <v>4122</v>
      </c>
      <c r="F75" s="6" t="s">
        <v>211</v>
      </c>
      <c r="G75" s="68" t="s">
        <v>207</v>
      </c>
      <c r="H75" s="203">
        <v>0</v>
      </c>
      <c r="I75" s="128">
        <v>0</v>
      </c>
      <c r="J75" s="128">
        <v>0</v>
      </c>
    </row>
    <row r="76" spans="1:10" ht="12.75">
      <c r="A76" s="238"/>
      <c r="B76" s="253"/>
      <c r="C76" s="254"/>
      <c r="D76" s="101">
        <v>73</v>
      </c>
      <c r="E76" s="6">
        <v>4122</v>
      </c>
      <c r="F76" s="6"/>
      <c r="G76" s="68" t="s">
        <v>204</v>
      </c>
      <c r="H76" s="203">
        <v>0</v>
      </c>
      <c r="I76" s="128">
        <v>0</v>
      </c>
      <c r="J76" s="128">
        <v>0</v>
      </c>
    </row>
    <row r="77" spans="1:10" ht="12.75">
      <c r="A77" s="238"/>
      <c r="B77" s="253"/>
      <c r="C77" s="254"/>
      <c r="D77" s="101">
        <v>74</v>
      </c>
      <c r="E77" s="6">
        <v>4122</v>
      </c>
      <c r="F77" s="6"/>
      <c r="G77" s="68" t="s">
        <v>258</v>
      </c>
      <c r="H77" s="203">
        <v>0</v>
      </c>
      <c r="I77" s="34">
        <v>0</v>
      </c>
      <c r="J77" s="126">
        <v>43</v>
      </c>
    </row>
    <row r="78" spans="1:10" ht="12.75">
      <c r="A78" s="238"/>
      <c r="B78" s="253"/>
      <c r="C78" s="254"/>
      <c r="D78" s="101">
        <v>75</v>
      </c>
      <c r="E78" s="6">
        <v>4116</v>
      </c>
      <c r="F78" s="6"/>
      <c r="G78" s="68" t="s">
        <v>162</v>
      </c>
      <c r="H78" s="202">
        <v>0</v>
      </c>
      <c r="I78" s="42">
        <v>0</v>
      </c>
      <c r="J78" s="42">
        <v>0</v>
      </c>
    </row>
    <row r="79" spans="1:10" ht="12.75">
      <c r="A79" s="238"/>
      <c r="B79" s="253"/>
      <c r="C79" s="254"/>
      <c r="D79" s="101">
        <v>76</v>
      </c>
      <c r="E79" s="6"/>
      <c r="F79" s="6"/>
      <c r="G79" s="197" t="s">
        <v>22</v>
      </c>
      <c r="H79" s="202">
        <f>SUM(H67:H78)</f>
        <v>8374</v>
      </c>
      <c r="I79" s="42">
        <f>SUM(I67:I78)</f>
        <v>8680</v>
      </c>
      <c r="J79" s="42">
        <f>SUM(J67:J78)</f>
        <v>8723</v>
      </c>
    </row>
    <row r="80" spans="1:10" ht="12.75">
      <c r="A80" s="238"/>
      <c r="B80" s="232" t="s">
        <v>30</v>
      </c>
      <c r="C80" s="231"/>
      <c r="D80" s="101">
        <v>77</v>
      </c>
      <c r="E80" s="6">
        <v>4213</v>
      </c>
      <c r="F80" s="6" t="s">
        <v>156</v>
      </c>
      <c r="G80" s="68" t="s">
        <v>158</v>
      </c>
      <c r="H80" s="203">
        <v>0</v>
      </c>
      <c r="I80" s="42">
        <v>0</v>
      </c>
      <c r="J80" s="42">
        <v>0</v>
      </c>
    </row>
    <row r="81" spans="1:10" ht="12.75">
      <c r="A81" s="238"/>
      <c r="B81" s="235"/>
      <c r="C81" s="231"/>
      <c r="D81" s="101">
        <v>78</v>
      </c>
      <c r="E81" s="6">
        <v>4216</v>
      </c>
      <c r="F81" s="6" t="s">
        <v>159</v>
      </c>
      <c r="G81" s="68" t="s">
        <v>157</v>
      </c>
      <c r="H81" s="203">
        <v>0</v>
      </c>
      <c r="I81" s="42">
        <v>0</v>
      </c>
      <c r="J81" s="42">
        <v>0</v>
      </c>
    </row>
    <row r="82" spans="1:10" ht="12.75">
      <c r="A82" s="238"/>
      <c r="B82" s="235"/>
      <c r="C82" s="231"/>
      <c r="D82" s="101">
        <v>79</v>
      </c>
      <c r="E82" s="6">
        <v>4216</v>
      </c>
      <c r="F82" s="6" t="s">
        <v>166</v>
      </c>
      <c r="G82" s="68" t="s">
        <v>167</v>
      </c>
      <c r="H82" s="202">
        <v>0</v>
      </c>
      <c r="I82" s="42">
        <v>0</v>
      </c>
      <c r="J82" s="42">
        <v>0</v>
      </c>
    </row>
    <row r="83" spans="1:10" ht="12.75">
      <c r="A83" s="238"/>
      <c r="B83" s="235"/>
      <c r="C83" s="231"/>
      <c r="D83" s="101">
        <v>80</v>
      </c>
      <c r="E83" s="6">
        <v>4216</v>
      </c>
      <c r="F83" s="6"/>
      <c r="G83" s="68" t="s">
        <v>217</v>
      </c>
      <c r="H83" s="202">
        <v>0</v>
      </c>
      <c r="I83" s="42">
        <v>0</v>
      </c>
      <c r="J83" s="42">
        <v>0</v>
      </c>
    </row>
    <row r="84" spans="1:10" ht="12.75">
      <c r="A84" s="238"/>
      <c r="B84" s="235"/>
      <c r="C84" s="231"/>
      <c r="D84" s="101">
        <v>81</v>
      </c>
      <c r="E84" s="6">
        <v>4222</v>
      </c>
      <c r="F84" s="6"/>
      <c r="G84" s="68" t="s">
        <v>215</v>
      </c>
      <c r="H84" s="203">
        <v>0</v>
      </c>
      <c r="I84" s="42">
        <v>0</v>
      </c>
      <c r="J84" s="42">
        <v>0</v>
      </c>
    </row>
    <row r="85" spans="1:10" ht="12.75">
      <c r="A85" s="238"/>
      <c r="B85" s="235"/>
      <c r="C85" s="231"/>
      <c r="D85" s="101">
        <v>82</v>
      </c>
      <c r="E85" s="6">
        <v>4222</v>
      </c>
      <c r="F85" s="6"/>
      <c r="G85" s="223" t="s">
        <v>256</v>
      </c>
      <c r="H85" s="203">
        <v>0</v>
      </c>
      <c r="I85" s="42">
        <v>0</v>
      </c>
      <c r="J85" s="126">
        <v>264</v>
      </c>
    </row>
    <row r="86" spans="1:10" ht="12.75">
      <c r="A86" s="238"/>
      <c r="B86" s="235"/>
      <c r="C86" s="231"/>
      <c r="D86" s="101">
        <v>83</v>
      </c>
      <c r="E86" s="6">
        <v>4222</v>
      </c>
      <c r="F86" s="6"/>
      <c r="G86" s="68" t="s">
        <v>216</v>
      </c>
      <c r="H86" s="203">
        <v>0</v>
      </c>
      <c r="I86" s="42">
        <v>0</v>
      </c>
      <c r="J86" s="42">
        <v>0</v>
      </c>
    </row>
    <row r="87" spans="1:10" ht="12.75">
      <c r="A87" s="238"/>
      <c r="B87" s="235"/>
      <c r="C87" s="231"/>
      <c r="D87" s="101">
        <v>84</v>
      </c>
      <c r="E87" s="6"/>
      <c r="F87" s="6"/>
      <c r="G87" s="197" t="s">
        <v>23</v>
      </c>
      <c r="H87" s="209">
        <f>SUM(H80:H86)</f>
        <v>0</v>
      </c>
      <c r="I87" s="33">
        <f>SUM(I80:I86)</f>
        <v>0</v>
      </c>
      <c r="J87" s="33">
        <f>SUM(J80:J86)</f>
        <v>264</v>
      </c>
    </row>
    <row r="88" spans="1:10" ht="13.5" thickBot="1">
      <c r="A88" s="239"/>
      <c r="B88" s="233"/>
      <c r="C88" s="250"/>
      <c r="D88" s="103">
        <v>85</v>
      </c>
      <c r="E88" s="8"/>
      <c r="F88" s="8"/>
      <c r="G88" s="198" t="s">
        <v>65</v>
      </c>
      <c r="H88" s="214">
        <f>H79+H87</f>
        <v>8374</v>
      </c>
      <c r="I88" s="53">
        <f>I79+I87</f>
        <v>8680</v>
      </c>
      <c r="J88" s="53">
        <f>J79+J87</f>
        <v>8987</v>
      </c>
    </row>
    <row r="89" spans="1:10" ht="13.5" thickBot="1">
      <c r="A89" s="54"/>
      <c r="B89" s="55"/>
      <c r="C89" s="98"/>
      <c r="D89" s="99">
        <v>86</v>
      </c>
      <c r="E89" s="56"/>
      <c r="F89" s="56"/>
      <c r="G89" s="199" t="s">
        <v>66</v>
      </c>
      <c r="H89" s="215">
        <f>H66+H88</f>
        <v>98375</v>
      </c>
      <c r="I89" s="57">
        <f>I66+I88</f>
        <v>102159</v>
      </c>
      <c r="J89" s="57">
        <f>J66+J88</f>
        <v>103729</v>
      </c>
    </row>
    <row r="90" ht="12.75">
      <c r="D90" s="71"/>
    </row>
    <row r="91" ht="12.75">
      <c r="G91" s="47" t="s">
        <v>101</v>
      </c>
    </row>
    <row r="94" ht="12.75">
      <c r="G94" s="58"/>
    </row>
  </sheetData>
  <mergeCells count="13">
    <mergeCell ref="A67:A88"/>
    <mergeCell ref="B4:B59"/>
    <mergeCell ref="C22:C59"/>
    <mergeCell ref="B80:C88"/>
    <mergeCell ref="C4:C21"/>
    <mergeCell ref="B67:C79"/>
    <mergeCell ref="B60:C66"/>
    <mergeCell ref="A4:A66"/>
    <mergeCell ref="J35:J37"/>
    <mergeCell ref="H2:J2"/>
    <mergeCell ref="A2:G2"/>
    <mergeCell ref="H35:H37"/>
    <mergeCell ref="I35:I37"/>
  </mergeCells>
  <printOptions verticalCentered="1"/>
  <pageMargins left="0.5905511811023623" right="0.3937007874015748" top="0.1968503937007874" bottom="0" header="0.33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7"/>
  <sheetViews>
    <sheetView zoomScale="75" zoomScaleNormal="75" workbookViewId="0" topLeftCell="A1">
      <pane xSplit="6" ySplit="2" topLeftCell="G48" activePane="bottomRight" state="frozen"/>
      <selection pane="topLeft" activeCell="A1" sqref="A1"/>
      <selection pane="topRight" activeCell="G1" sqref="G1"/>
      <selection pane="bottomLeft" activeCell="A3" sqref="A3"/>
      <selection pane="bottomRight" activeCell="E13" sqref="E13:F13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3" width="10.25390625" style="1" bestFit="1" customWidth="1"/>
    <col min="4" max="4" width="12.375" style="1" bestFit="1" customWidth="1"/>
    <col min="5" max="5" width="25.75390625" style="0" customWidth="1"/>
    <col min="6" max="6" width="29.375" style="0" customWidth="1"/>
    <col min="7" max="7" width="15.25390625" style="0" customWidth="1"/>
    <col min="8" max="8" width="15.125" style="0" customWidth="1"/>
    <col min="9" max="9" width="19.75390625" style="0" customWidth="1"/>
  </cols>
  <sheetData>
    <row r="1" spans="1:9" ht="16.5" thickBot="1">
      <c r="A1" s="244" t="s">
        <v>250</v>
      </c>
      <c r="B1" s="244"/>
      <c r="C1" s="244"/>
      <c r="D1" s="244"/>
      <c r="E1" s="244"/>
      <c r="F1" s="243" t="s">
        <v>249</v>
      </c>
      <c r="G1" s="265"/>
      <c r="H1" s="265"/>
      <c r="I1" s="265"/>
    </row>
    <row r="2" spans="1:9" ht="32.25" customHeight="1" thickBot="1">
      <c r="A2" s="52"/>
      <c r="B2" s="15" t="s">
        <v>27</v>
      </c>
      <c r="C2" s="15" t="s">
        <v>1</v>
      </c>
      <c r="D2" s="15" t="s">
        <v>0</v>
      </c>
      <c r="E2" s="306" t="s">
        <v>2</v>
      </c>
      <c r="F2" s="307"/>
      <c r="G2" s="73" t="s">
        <v>203</v>
      </c>
      <c r="H2" s="73" t="s">
        <v>247</v>
      </c>
      <c r="I2" s="73" t="s">
        <v>252</v>
      </c>
    </row>
    <row r="3" spans="1:9" ht="12.75">
      <c r="A3" s="300" t="s">
        <v>57</v>
      </c>
      <c r="B3" s="50">
        <v>1</v>
      </c>
      <c r="C3" s="50"/>
      <c r="D3" s="50">
        <v>1014</v>
      </c>
      <c r="E3" s="308" t="s">
        <v>83</v>
      </c>
      <c r="F3" s="309"/>
      <c r="G3" s="163">
        <v>250</v>
      </c>
      <c r="H3" s="163">
        <v>200</v>
      </c>
      <c r="I3" s="163">
        <v>200</v>
      </c>
    </row>
    <row r="4" spans="1:9" ht="12.75">
      <c r="A4" s="301"/>
      <c r="B4" s="6">
        <v>2</v>
      </c>
      <c r="C4" s="6"/>
      <c r="D4" s="6"/>
      <c r="E4" s="310" t="s">
        <v>84</v>
      </c>
      <c r="F4" s="311"/>
      <c r="G4" s="74">
        <f>SUM(G3)</f>
        <v>250</v>
      </c>
      <c r="H4" s="74">
        <f>SUM(H3)</f>
        <v>200</v>
      </c>
      <c r="I4" s="74">
        <f>SUM(I3)</f>
        <v>200</v>
      </c>
    </row>
    <row r="5" spans="1:9" ht="12.75">
      <c r="A5" s="301"/>
      <c r="B5" s="6">
        <v>3</v>
      </c>
      <c r="C5" s="4">
        <v>5323</v>
      </c>
      <c r="D5" s="6" t="s">
        <v>257</v>
      </c>
      <c r="E5" s="312" t="s">
        <v>70</v>
      </c>
      <c r="F5" s="311"/>
      <c r="G5" s="75">
        <v>560</v>
      </c>
      <c r="H5" s="175">
        <v>625</v>
      </c>
      <c r="I5" s="175">
        <v>625</v>
      </c>
    </row>
    <row r="6" spans="1:10" ht="12.75">
      <c r="A6" s="301"/>
      <c r="B6" s="6">
        <v>4</v>
      </c>
      <c r="C6" s="6"/>
      <c r="D6" s="6"/>
      <c r="E6" s="310" t="s">
        <v>71</v>
      </c>
      <c r="F6" s="311"/>
      <c r="G6" s="76">
        <f>SUM(G5)</f>
        <v>560</v>
      </c>
      <c r="H6" s="76">
        <f>SUM(H5)</f>
        <v>625</v>
      </c>
      <c r="I6" s="76">
        <f>SUM(I5)</f>
        <v>625</v>
      </c>
      <c r="J6" s="1"/>
    </row>
    <row r="7" spans="1:9" ht="12.75">
      <c r="A7" s="301"/>
      <c r="B7" s="6">
        <v>5</v>
      </c>
      <c r="C7" s="6"/>
      <c r="D7" s="6">
        <v>3111</v>
      </c>
      <c r="E7" s="231" t="s">
        <v>41</v>
      </c>
      <c r="F7" s="267"/>
      <c r="G7" s="129">
        <f>1961-150</f>
        <v>1811</v>
      </c>
      <c r="H7" s="129">
        <f>1573+338</f>
        <v>1911</v>
      </c>
      <c r="I7" s="129">
        <f>1573+338</f>
        <v>1911</v>
      </c>
    </row>
    <row r="8" spans="1:9" ht="12.75">
      <c r="A8" s="301"/>
      <c r="B8" s="6">
        <v>6</v>
      </c>
      <c r="C8" s="6"/>
      <c r="D8" s="6">
        <v>3119</v>
      </c>
      <c r="E8" s="231" t="s">
        <v>37</v>
      </c>
      <c r="F8" s="267"/>
      <c r="G8" s="129">
        <v>1131</v>
      </c>
      <c r="H8" s="129">
        <f>967+164</f>
        <v>1131</v>
      </c>
      <c r="I8" s="129">
        <f>967+164</f>
        <v>1131</v>
      </c>
    </row>
    <row r="9" spans="1:9" ht="12.75">
      <c r="A9" s="301"/>
      <c r="B9" s="6">
        <v>7</v>
      </c>
      <c r="C9" s="6"/>
      <c r="D9" s="6">
        <v>3113</v>
      </c>
      <c r="E9" s="231" t="s">
        <v>38</v>
      </c>
      <c r="F9" s="267"/>
      <c r="G9" s="129">
        <v>5737</v>
      </c>
      <c r="H9" s="129">
        <f>4500+787</f>
        <v>5287</v>
      </c>
      <c r="I9" s="129">
        <f>4500+787</f>
        <v>5287</v>
      </c>
    </row>
    <row r="10" spans="1:9" ht="12.75">
      <c r="A10" s="301"/>
      <c r="B10" s="6">
        <v>8</v>
      </c>
      <c r="C10" s="6"/>
      <c r="D10" s="6">
        <v>3141</v>
      </c>
      <c r="E10" s="231" t="s">
        <v>39</v>
      </c>
      <c r="F10" s="267"/>
      <c r="G10" s="164">
        <v>1480</v>
      </c>
      <c r="H10" s="164">
        <f>997+483</f>
        <v>1480</v>
      </c>
      <c r="I10" s="224">
        <f>997+483+102</f>
        <v>1582</v>
      </c>
    </row>
    <row r="11" spans="1:10" ht="12.75">
      <c r="A11" s="301"/>
      <c r="B11" s="6">
        <v>9</v>
      </c>
      <c r="C11" s="6"/>
      <c r="D11" s="6">
        <v>3111</v>
      </c>
      <c r="E11" s="304" t="s">
        <v>151</v>
      </c>
      <c r="F11" s="305"/>
      <c r="G11" s="164">
        <v>0</v>
      </c>
      <c r="H11" s="164">
        <v>0</v>
      </c>
      <c r="I11" s="164">
        <v>0</v>
      </c>
      <c r="J11" s="119"/>
    </row>
    <row r="12" spans="1:9" ht="12.75">
      <c r="A12" s="301"/>
      <c r="B12" s="6">
        <v>10</v>
      </c>
      <c r="C12" s="6"/>
      <c r="D12" s="6"/>
      <c r="E12" s="304" t="s">
        <v>261</v>
      </c>
      <c r="F12" s="305"/>
      <c r="G12" s="165">
        <v>1000</v>
      </c>
      <c r="H12" s="165">
        <v>300</v>
      </c>
      <c r="I12" s="165">
        <v>300</v>
      </c>
    </row>
    <row r="13" spans="1:9" ht="12.75">
      <c r="A13" s="301"/>
      <c r="B13" s="6">
        <v>11</v>
      </c>
      <c r="C13" s="6"/>
      <c r="D13" s="6"/>
      <c r="E13" s="231"/>
      <c r="F13" s="267"/>
      <c r="G13" s="78"/>
      <c r="H13" s="78"/>
      <c r="I13" s="78"/>
    </row>
    <row r="14" spans="1:9" ht="12.75">
      <c r="A14" s="301"/>
      <c r="B14" s="6">
        <v>12</v>
      </c>
      <c r="C14" s="6"/>
      <c r="D14" s="6"/>
      <c r="E14" s="266" t="s">
        <v>42</v>
      </c>
      <c r="F14" s="267"/>
      <c r="G14" s="79">
        <f>SUM(G7:G13)</f>
        <v>11159</v>
      </c>
      <c r="H14" s="79">
        <f>SUM(H7:H13)</f>
        <v>10109</v>
      </c>
      <c r="I14" s="79">
        <f>SUM(I7:I13)</f>
        <v>10211</v>
      </c>
    </row>
    <row r="15" spans="1:9" ht="12.75">
      <c r="A15" s="301"/>
      <c r="B15" s="6">
        <v>13</v>
      </c>
      <c r="C15" s="6"/>
      <c r="D15" s="6">
        <v>3319</v>
      </c>
      <c r="E15" s="231" t="s">
        <v>186</v>
      </c>
      <c r="F15" s="267"/>
      <c r="G15" s="77">
        <v>45</v>
      </c>
      <c r="H15" s="77">
        <v>45</v>
      </c>
      <c r="I15" s="77">
        <v>45</v>
      </c>
    </row>
    <row r="16" spans="1:9" ht="12.75">
      <c r="A16" s="301"/>
      <c r="B16" s="6">
        <v>14</v>
      </c>
      <c r="C16" s="6"/>
      <c r="D16" s="6">
        <v>3319</v>
      </c>
      <c r="E16" s="231" t="s">
        <v>187</v>
      </c>
      <c r="F16" s="267"/>
      <c r="G16" s="77">
        <v>800</v>
      </c>
      <c r="H16" s="77">
        <v>800</v>
      </c>
      <c r="I16" s="77">
        <v>800</v>
      </c>
    </row>
    <row r="17" spans="1:9" ht="12.75">
      <c r="A17" s="301"/>
      <c r="B17" s="6">
        <v>15</v>
      </c>
      <c r="C17" s="6"/>
      <c r="D17" s="6">
        <v>3349</v>
      </c>
      <c r="E17" s="231" t="s">
        <v>12</v>
      </c>
      <c r="F17" s="267"/>
      <c r="G17" s="77">
        <v>300</v>
      </c>
      <c r="H17" s="77">
        <v>300</v>
      </c>
      <c r="I17" s="77">
        <v>300</v>
      </c>
    </row>
    <row r="18" spans="1:9" ht="12.75">
      <c r="A18" s="301"/>
      <c r="B18" s="108">
        <v>16</v>
      </c>
      <c r="C18" s="8"/>
      <c r="D18" s="108" t="s">
        <v>208</v>
      </c>
      <c r="E18" s="231" t="s">
        <v>197</v>
      </c>
      <c r="F18" s="267"/>
      <c r="G18" s="129">
        <f>5709+150+70</f>
        <v>5929</v>
      </c>
      <c r="H18" s="129">
        <v>6104</v>
      </c>
      <c r="I18" s="129">
        <v>6104</v>
      </c>
    </row>
    <row r="19" spans="1:9" ht="12.75">
      <c r="A19" s="301"/>
      <c r="B19" s="6">
        <v>17</v>
      </c>
      <c r="C19" s="6"/>
      <c r="D19" s="6">
        <v>3399</v>
      </c>
      <c r="E19" s="231" t="s">
        <v>103</v>
      </c>
      <c r="F19" s="267"/>
      <c r="G19" s="129">
        <v>120</v>
      </c>
      <c r="H19" s="129">
        <v>120</v>
      </c>
      <c r="I19" s="129">
        <v>120</v>
      </c>
    </row>
    <row r="20" spans="1:9" ht="12.75">
      <c r="A20" s="301"/>
      <c r="B20" s="6">
        <v>18</v>
      </c>
      <c r="C20" s="6"/>
      <c r="D20" s="6" t="s">
        <v>75</v>
      </c>
      <c r="E20" s="231" t="s">
        <v>99</v>
      </c>
      <c r="F20" s="267"/>
      <c r="G20" s="77">
        <f>50+50</f>
        <v>100</v>
      </c>
      <c r="H20" s="125">
        <f>50+42</f>
        <v>92</v>
      </c>
      <c r="I20" s="129">
        <f>50+42</f>
        <v>92</v>
      </c>
    </row>
    <row r="21" spans="1:9" ht="12.75">
      <c r="A21" s="301"/>
      <c r="B21" s="72">
        <v>19</v>
      </c>
      <c r="C21" s="6"/>
      <c r="D21" s="6" t="s">
        <v>75</v>
      </c>
      <c r="E21" s="70" t="s">
        <v>100</v>
      </c>
      <c r="F21" s="105"/>
      <c r="G21" s="125">
        <f>145+100</f>
        <v>245</v>
      </c>
      <c r="H21" s="125">
        <f>50+150</f>
        <v>200</v>
      </c>
      <c r="I21" s="129">
        <f>50+150</f>
        <v>200</v>
      </c>
    </row>
    <row r="22" spans="1:9" ht="12.75">
      <c r="A22" s="301"/>
      <c r="B22" s="6">
        <v>20</v>
      </c>
      <c r="C22" s="6"/>
      <c r="D22" s="6"/>
      <c r="E22" s="266" t="s">
        <v>43</v>
      </c>
      <c r="F22" s="267"/>
      <c r="G22" s="79">
        <f>SUM(G15:G21)</f>
        <v>7539</v>
      </c>
      <c r="H22" s="79">
        <f>SUM(H15:H21)</f>
        <v>7661</v>
      </c>
      <c r="I22" s="79">
        <f>SUM(I15:I21)</f>
        <v>7661</v>
      </c>
    </row>
    <row r="23" spans="1:9" ht="12.75">
      <c r="A23" s="301"/>
      <c r="B23" s="6">
        <v>21</v>
      </c>
      <c r="C23" s="6"/>
      <c r="D23" s="6"/>
      <c r="E23" s="274"/>
      <c r="F23" s="267"/>
      <c r="G23" s="77"/>
      <c r="H23" s="77"/>
      <c r="I23" s="77"/>
    </row>
    <row r="24" spans="1:9" ht="12.75">
      <c r="A24" s="301"/>
      <c r="B24" s="6">
        <v>22</v>
      </c>
      <c r="C24" s="6"/>
      <c r="D24" s="4">
        <v>6223</v>
      </c>
      <c r="E24" s="274" t="s">
        <v>98</v>
      </c>
      <c r="F24" s="267"/>
      <c r="G24" s="77">
        <v>400</v>
      </c>
      <c r="H24" s="77">
        <v>400</v>
      </c>
      <c r="I24" s="77">
        <v>400</v>
      </c>
    </row>
    <row r="25" spans="1:9" ht="12.75">
      <c r="A25" s="301"/>
      <c r="B25" s="131">
        <v>23</v>
      </c>
      <c r="C25" s="131">
        <v>5229</v>
      </c>
      <c r="D25" s="131">
        <v>3419</v>
      </c>
      <c r="E25" s="276" t="s">
        <v>210</v>
      </c>
      <c r="F25" s="277"/>
      <c r="G25" s="129">
        <v>0</v>
      </c>
      <c r="H25" s="129">
        <v>200</v>
      </c>
      <c r="I25" s="129">
        <v>200</v>
      </c>
    </row>
    <row r="26" spans="1:9" ht="12.75">
      <c r="A26" s="301"/>
      <c r="B26" s="6">
        <v>24</v>
      </c>
      <c r="C26" s="6">
        <v>5229</v>
      </c>
      <c r="D26" s="4">
        <v>3419</v>
      </c>
      <c r="E26" s="274" t="s">
        <v>198</v>
      </c>
      <c r="F26" s="267"/>
      <c r="G26" s="125">
        <f>400-200</f>
        <v>200</v>
      </c>
      <c r="H26" s="129">
        <v>200</v>
      </c>
      <c r="I26" s="129">
        <v>200</v>
      </c>
    </row>
    <row r="27" spans="1:9" ht="12.75">
      <c r="A27" s="301"/>
      <c r="B27" s="313">
        <v>25</v>
      </c>
      <c r="C27" s="314" t="s">
        <v>199</v>
      </c>
      <c r="D27" s="316" t="s">
        <v>200</v>
      </c>
      <c r="E27" s="318" t="s">
        <v>96</v>
      </c>
      <c r="F27" s="19" t="s">
        <v>239</v>
      </c>
      <c r="G27" s="125">
        <f>500+200</f>
        <v>700</v>
      </c>
      <c r="H27" s="220">
        <f>500+200</f>
        <v>700</v>
      </c>
      <c r="I27" s="129">
        <f>500+200</f>
        <v>700</v>
      </c>
    </row>
    <row r="28" spans="1:9" ht="22.5" customHeight="1">
      <c r="A28" s="301"/>
      <c r="B28" s="285"/>
      <c r="C28" s="315"/>
      <c r="D28" s="317"/>
      <c r="E28" s="319"/>
      <c r="F28" s="107" t="s">
        <v>128</v>
      </c>
      <c r="G28" s="162">
        <f>200</f>
        <v>200</v>
      </c>
      <c r="H28" s="162">
        <v>200</v>
      </c>
      <c r="I28" s="162">
        <v>200</v>
      </c>
    </row>
    <row r="29" spans="1:9" ht="12.75">
      <c r="A29" s="301"/>
      <c r="B29" s="4">
        <v>26</v>
      </c>
      <c r="C29" s="6"/>
      <c r="D29" s="32"/>
      <c r="E29" s="266" t="s">
        <v>87</v>
      </c>
      <c r="F29" s="267"/>
      <c r="G29" s="79">
        <f>SUM(G23:G28)</f>
        <v>1500</v>
      </c>
      <c r="H29" s="79">
        <f>SUM(H23:H28)</f>
        <v>1700</v>
      </c>
      <c r="I29" s="79">
        <f>SUM(I23:I28)</f>
        <v>1700</v>
      </c>
    </row>
    <row r="30" spans="1:9" ht="12.75">
      <c r="A30" s="301"/>
      <c r="B30" s="6">
        <v>27</v>
      </c>
      <c r="C30" s="6">
        <v>5023</v>
      </c>
      <c r="D30" s="6">
        <v>6112</v>
      </c>
      <c r="E30" s="2" t="s">
        <v>76</v>
      </c>
      <c r="F30" s="37"/>
      <c r="G30" s="80">
        <v>1660</v>
      </c>
      <c r="H30" s="162">
        <v>1700</v>
      </c>
      <c r="I30" s="162">
        <v>1700</v>
      </c>
    </row>
    <row r="31" spans="1:9" ht="12.75">
      <c r="A31" s="301"/>
      <c r="B31" s="6">
        <v>28</v>
      </c>
      <c r="C31" s="6">
        <v>5023</v>
      </c>
      <c r="D31" s="6">
        <v>6112</v>
      </c>
      <c r="E31" s="231" t="s">
        <v>44</v>
      </c>
      <c r="F31" s="267"/>
      <c r="G31" s="153">
        <f>370+120</f>
        <v>490</v>
      </c>
      <c r="H31" s="162">
        <v>500</v>
      </c>
      <c r="I31" s="162">
        <v>500</v>
      </c>
    </row>
    <row r="32" spans="1:9" ht="12.75">
      <c r="A32" s="301"/>
      <c r="B32" s="6">
        <v>29</v>
      </c>
      <c r="C32" s="6">
        <v>5023</v>
      </c>
      <c r="D32" s="6">
        <v>6112</v>
      </c>
      <c r="E32" s="231" t="s">
        <v>80</v>
      </c>
      <c r="F32" s="267"/>
      <c r="G32" s="153">
        <v>70</v>
      </c>
      <c r="H32" s="162">
        <v>80</v>
      </c>
      <c r="I32" s="162">
        <v>80</v>
      </c>
    </row>
    <row r="33" spans="1:9" ht="12.75">
      <c r="A33" s="301"/>
      <c r="B33" s="6">
        <v>30</v>
      </c>
      <c r="C33" s="6">
        <v>5492</v>
      </c>
      <c r="D33" s="6">
        <v>6112.71</v>
      </c>
      <c r="E33" s="231" t="s">
        <v>120</v>
      </c>
      <c r="F33" s="267"/>
      <c r="G33" s="77">
        <v>120</v>
      </c>
      <c r="H33" s="77">
        <v>120</v>
      </c>
      <c r="I33" s="77">
        <v>120</v>
      </c>
    </row>
    <row r="34" spans="1:9" ht="12.75">
      <c r="A34" s="301"/>
      <c r="B34" s="6">
        <v>31</v>
      </c>
      <c r="C34" s="6"/>
      <c r="D34" s="131">
        <v>6115</v>
      </c>
      <c r="E34" s="276" t="s">
        <v>220</v>
      </c>
      <c r="F34" s="277"/>
      <c r="G34" s="129">
        <v>0</v>
      </c>
      <c r="H34" s="129">
        <v>0</v>
      </c>
      <c r="I34" s="129">
        <v>0</v>
      </c>
    </row>
    <row r="35" spans="1:9" ht="12.75">
      <c r="A35" s="301"/>
      <c r="B35" s="6">
        <v>32</v>
      </c>
      <c r="C35" s="6"/>
      <c r="D35" s="6">
        <v>6117</v>
      </c>
      <c r="E35" s="231" t="s">
        <v>148</v>
      </c>
      <c r="F35" s="267"/>
      <c r="G35" s="77">
        <v>0</v>
      </c>
      <c r="H35" s="129">
        <v>0</v>
      </c>
      <c r="I35" s="129">
        <v>0</v>
      </c>
    </row>
    <row r="36" spans="1:9" ht="12.75">
      <c r="A36" s="301"/>
      <c r="B36" s="6">
        <v>33</v>
      </c>
      <c r="C36" s="6"/>
      <c r="D36" s="161" t="s">
        <v>237</v>
      </c>
      <c r="E36" s="231" t="s">
        <v>238</v>
      </c>
      <c r="F36" s="267"/>
      <c r="G36" s="129">
        <f>16664+450+1105-60</f>
        <v>18159</v>
      </c>
      <c r="H36" s="129">
        <v>18291</v>
      </c>
      <c r="I36" s="125">
        <f>18291-185</f>
        <v>18106</v>
      </c>
    </row>
    <row r="37" spans="1:9" ht="12.75">
      <c r="A37" s="301"/>
      <c r="B37" s="4">
        <v>34</v>
      </c>
      <c r="C37" s="6"/>
      <c r="D37" s="6">
        <v>6171</v>
      </c>
      <c r="E37" s="231" t="s">
        <v>45</v>
      </c>
      <c r="F37" s="267"/>
      <c r="G37" s="77">
        <v>250</v>
      </c>
      <c r="H37" s="129">
        <v>250</v>
      </c>
      <c r="I37" s="129">
        <v>250</v>
      </c>
    </row>
    <row r="38" spans="1:9" ht="12.75">
      <c r="A38" s="301"/>
      <c r="B38" s="6">
        <v>35</v>
      </c>
      <c r="C38" s="6"/>
      <c r="D38" s="6">
        <v>6399</v>
      </c>
      <c r="E38" s="231" t="s">
        <v>126</v>
      </c>
      <c r="F38" s="267"/>
      <c r="G38" s="129">
        <v>2555</v>
      </c>
      <c r="H38" s="129">
        <f>2000+555</f>
        <v>2555</v>
      </c>
      <c r="I38" s="125">
        <f>2000+555-153</f>
        <v>2402</v>
      </c>
    </row>
    <row r="39" spans="1:9" ht="12.75">
      <c r="A39" s="301"/>
      <c r="B39" s="6">
        <v>36</v>
      </c>
      <c r="C39" s="6"/>
      <c r="D39" s="6">
        <v>6171</v>
      </c>
      <c r="E39" s="231" t="s">
        <v>46</v>
      </c>
      <c r="F39" s="267"/>
      <c r="G39" s="129">
        <v>100</v>
      </c>
      <c r="H39" s="129">
        <v>100</v>
      </c>
      <c r="I39" s="129">
        <v>100</v>
      </c>
    </row>
    <row r="40" spans="1:9" ht="12.75">
      <c r="A40" s="301"/>
      <c r="B40" s="6">
        <v>37</v>
      </c>
      <c r="C40" s="6"/>
      <c r="D40" s="6">
        <v>6310</v>
      </c>
      <c r="E40" s="231" t="s">
        <v>47</v>
      </c>
      <c r="F40" s="267"/>
      <c r="G40" s="129">
        <v>172</v>
      </c>
      <c r="H40" s="129">
        <v>117</v>
      </c>
      <c r="I40" s="129">
        <v>117</v>
      </c>
    </row>
    <row r="41" spans="1:9" ht="12.75">
      <c r="A41" s="301"/>
      <c r="B41" s="6">
        <v>38</v>
      </c>
      <c r="C41" s="6"/>
      <c r="D41" s="6">
        <v>6402</v>
      </c>
      <c r="E41" s="231" t="s">
        <v>67</v>
      </c>
      <c r="F41" s="267"/>
      <c r="G41" s="77">
        <v>0</v>
      </c>
      <c r="H41" s="129">
        <v>0</v>
      </c>
      <c r="I41" s="129">
        <v>0</v>
      </c>
    </row>
    <row r="42" spans="1:9" ht="12.75">
      <c r="A42" s="301"/>
      <c r="B42" s="6">
        <v>39</v>
      </c>
      <c r="C42" s="6" t="s">
        <v>74</v>
      </c>
      <c r="D42" s="6">
        <v>6409</v>
      </c>
      <c r="E42" s="231" t="s">
        <v>240</v>
      </c>
      <c r="F42" s="267"/>
      <c r="G42" s="77">
        <v>120</v>
      </c>
      <c r="H42" s="129">
        <f>120+70</f>
        <v>190</v>
      </c>
      <c r="I42" s="129">
        <f>120+70</f>
        <v>190</v>
      </c>
    </row>
    <row r="43" spans="1:9" ht="12.75">
      <c r="A43" s="301"/>
      <c r="B43" s="4">
        <v>40</v>
      </c>
      <c r="C43" s="6"/>
      <c r="D43" s="6"/>
      <c r="E43" s="266" t="s">
        <v>48</v>
      </c>
      <c r="F43" s="267"/>
      <c r="G43" s="79">
        <f>SUM(G30:G42)</f>
        <v>23696</v>
      </c>
      <c r="H43" s="79">
        <f>SUM(H30:H42)</f>
        <v>23903</v>
      </c>
      <c r="I43" s="79">
        <f>SUM(I30:I42)</f>
        <v>23565</v>
      </c>
    </row>
    <row r="44" spans="1:9" ht="12.75">
      <c r="A44" s="301"/>
      <c r="B44" s="6">
        <v>41</v>
      </c>
      <c r="C44" s="6"/>
      <c r="D44" s="6">
        <v>5512</v>
      </c>
      <c r="E44" s="231" t="s">
        <v>133</v>
      </c>
      <c r="F44" s="267"/>
      <c r="G44" s="129">
        <v>614</v>
      </c>
      <c r="H44" s="129">
        <v>614</v>
      </c>
      <c r="I44" s="129">
        <v>614</v>
      </c>
    </row>
    <row r="45" spans="1:9" ht="12.75">
      <c r="A45" s="301"/>
      <c r="B45" s="6">
        <v>42</v>
      </c>
      <c r="C45" s="6"/>
      <c r="D45" s="6">
        <v>5521</v>
      </c>
      <c r="E45" s="231" t="s">
        <v>49</v>
      </c>
      <c r="F45" s="267"/>
      <c r="G45" s="78"/>
      <c r="H45" s="78"/>
      <c r="I45" s="78"/>
    </row>
    <row r="46" spans="1:9" ht="12.75">
      <c r="A46" s="301"/>
      <c r="B46" s="6">
        <v>43</v>
      </c>
      <c r="C46" s="6"/>
      <c r="D46" s="6"/>
      <c r="E46" s="266" t="s">
        <v>50</v>
      </c>
      <c r="F46" s="267"/>
      <c r="G46" s="79">
        <f>SUM(G44:G45)</f>
        <v>614</v>
      </c>
      <c r="H46" s="79">
        <f>SUM(H44:H45)</f>
        <v>614</v>
      </c>
      <c r="I46" s="79">
        <f>SUM(I44:I45)</f>
        <v>614</v>
      </c>
    </row>
    <row r="47" spans="1:9" ht="12.75">
      <c r="A47" s="301"/>
      <c r="B47" s="6">
        <v>44</v>
      </c>
      <c r="C47" s="6"/>
      <c r="D47" s="6">
        <v>5311</v>
      </c>
      <c r="E47" s="231" t="s">
        <v>51</v>
      </c>
      <c r="F47" s="267"/>
      <c r="G47" s="129">
        <v>3150</v>
      </c>
      <c r="H47" s="129">
        <v>3100</v>
      </c>
      <c r="I47" s="129">
        <v>3100</v>
      </c>
    </row>
    <row r="48" spans="1:9" ht="12.75">
      <c r="A48" s="301"/>
      <c r="B48" s="6">
        <v>45</v>
      </c>
      <c r="C48" s="6"/>
      <c r="D48" s="6"/>
      <c r="E48" s="266" t="s">
        <v>52</v>
      </c>
      <c r="F48" s="267"/>
      <c r="G48" s="79">
        <f>SUM(G47)</f>
        <v>3150</v>
      </c>
      <c r="H48" s="79">
        <f>SUM(H47)</f>
        <v>3100</v>
      </c>
      <c r="I48" s="79">
        <f>SUM(I47)</f>
        <v>3100</v>
      </c>
    </row>
    <row r="49" spans="1:9" ht="12.75">
      <c r="A49" s="301"/>
      <c r="B49" s="6">
        <v>46</v>
      </c>
      <c r="C49" s="6" t="s">
        <v>74</v>
      </c>
      <c r="D49" s="6"/>
      <c r="E49" s="274" t="s">
        <v>246</v>
      </c>
      <c r="F49" s="275"/>
      <c r="G49" s="104">
        <v>0</v>
      </c>
      <c r="H49" s="219">
        <v>150</v>
      </c>
      <c r="I49" s="162">
        <v>150</v>
      </c>
    </row>
    <row r="50" spans="1:9" ht="12.75">
      <c r="A50" s="301"/>
      <c r="B50" s="6">
        <v>47</v>
      </c>
      <c r="C50" s="6" t="s">
        <v>74</v>
      </c>
      <c r="D50" s="64">
        <v>3399.4357</v>
      </c>
      <c r="E50" s="276" t="s">
        <v>259</v>
      </c>
      <c r="F50" s="277"/>
      <c r="G50" s="129">
        <v>0</v>
      </c>
      <c r="H50" s="125">
        <f>50</f>
        <v>50</v>
      </c>
      <c r="I50" s="125">
        <f>50+31</f>
        <v>81</v>
      </c>
    </row>
    <row r="51" spans="1:9" ht="12.75">
      <c r="A51" s="301"/>
      <c r="B51" s="6">
        <v>48</v>
      </c>
      <c r="C51" s="6" t="s">
        <v>54</v>
      </c>
      <c r="D51" s="6">
        <v>4351.59</v>
      </c>
      <c r="E51" s="274" t="s">
        <v>119</v>
      </c>
      <c r="F51" s="267"/>
      <c r="G51" s="125">
        <f>1589+58</f>
        <v>1647</v>
      </c>
      <c r="H51" s="129">
        <v>1646</v>
      </c>
      <c r="I51" s="129">
        <v>1646</v>
      </c>
    </row>
    <row r="52" spans="1:9" ht="12.75">
      <c r="A52" s="301"/>
      <c r="B52" s="6">
        <v>49</v>
      </c>
      <c r="C52" s="6"/>
      <c r="D52" s="6"/>
      <c r="E52" s="266" t="s">
        <v>53</v>
      </c>
      <c r="F52" s="267"/>
      <c r="G52" s="79">
        <f>SUM(G49:G51)</f>
        <v>1647</v>
      </c>
      <c r="H52" s="79">
        <f>SUM(H49:H51)</f>
        <v>1846</v>
      </c>
      <c r="I52" s="79">
        <f>SUM(I49:I51)</f>
        <v>1877</v>
      </c>
    </row>
    <row r="53" spans="1:9" ht="12.75">
      <c r="A53" s="301"/>
      <c r="B53" s="6">
        <v>50</v>
      </c>
      <c r="C53" s="6"/>
      <c r="D53" s="64"/>
      <c r="E53" s="274"/>
      <c r="F53" s="275"/>
      <c r="G53" s="77"/>
      <c r="H53" s="77"/>
      <c r="I53" s="77"/>
    </row>
    <row r="54" spans="1:9" ht="12.75">
      <c r="A54" s="301"/>
      <c r="B54" s="6">
        <v>51</v>
      </c>
      <c r="C54" s="6">
        <v>5901</v>
      </c>
      <c r="D54" s="6">
        <v>5212</v>
      </c>
      <c r="E54" s="274" t="s">
        <v>125</v>
      </c>
      <c r="F54" s="267"/>
      <c r="G54" s="129">
        <v>1000</v>
      </c>
      <c r="H54" s="129">
        <v>1000</v>
      </c>
      <c r="I54" s="129">
        <v>1000</v>
      </c>
    </row>
    <row r="55" spans="1:9" ht="12.75">
      <c r="A55" s="301"/>
      <c r="B55" s="6">
        <v>52</v>
      </c>
      <c r="C55" s="64">
        <v>5169.5171</v>
      </c>
      <c r="D55" s="6" t="s">
        <v>54</v>
      </c>
      <c r="E55" s="274" t="s">
        <v>140</v>
      </c>
      <c r="F55" s="275"/>
      <c r="G55" s="77">
        <v>0</v>
      </c>
      <c r="H55" s="77">
        <v>0</v>
      </c>
      <c r="I55" s="77">
        <v>0</v>
      </c>
    </row>
    <row r="56" spans="1:9" ht="12.75">
      <c r="A56" s="301"/>
      <c r="B56" s="6">
        <v>53</v>
      </c>
      <c r="C56" s="6" t="s">
        <v>54</v>
      </c>
      <c r="D56" s="6">
        <v>3639</v>
      </c>
      <c r="E56" s="274" t="s">
        <v>137</v>
      </c>
      <c r="F56" s="275"/>
      <c r="G56" s="77">
        <v>0</v>
      </c>
      <c r="H56" s="77">
        <v>0</v>
      </c>
      <c r="I56" s="77">
        <v>0</v>
      </c>
    </row>
    <row r="57" spans="1:9" ht="12.75">
      <c r="A57" s="301"/>
      <c r="B57" s="6">
        <v>54</v>
      </c>
      <c r="C57" s="6"/>
      <c r="D57" s="6"/>
      <c r="E57" s="266" t="s">
        <v>113</v>
      </c>
      <c r="F57" s="267"/>
      <c r="G57" s="79">
        <f>G53+G55+G56+G54</f>
        <v>1000</v>
      </c>
      <c r="H57" s="79">
        <f>H53+H55+H56+H54</f>
        <v>1000</v>
      </c>
      <c r="I57" s="79">
        <f>I53+I55+I56+I54</f>
        <v>1000</v>
      </c>
    </row>
    <row r="58" spans="1:9" ht="12.75">
      <c r="A58" s="301"/>
      <c r="B58" s="6">
        <v>55</v>
      </c>
      <c r="C58" s="6"/>
      <c r="D58" s="6" t="s">
        <v>54</v>
      </c>
      <c r="E58" s="274" t="s">
        <v>152</v>
      </c>
      <c r="F58" s="267"/>
      <c r="G58" s="77">
        <f>800</f>
        <v>800</v>
      </c>
      <c r="H58" s="129">
        <f>800-800</f>
        <v>0</v>
      </c>
      <c r="I58" s="129">
        <f>800-800</f>
        <v>0</v>
      </c>
    </row>
    <row r="59" spans="1:9" ht="12.75">
      <c r="A59" s="301"/>
      <c r="B59" s="6">
        <v>56</v>
      </c>
      <c r="C59" s="6"/>
      <c r="D59" s="131">
        <v>3631</v>
      </c>
      <c r="E59" s="278" t="s">
        <v>213</v>
      </c>
      <c r="F59" s="279"/>
      <c r="G59" s="77">
        <v>0</v>
      </c>
      <c r="H59" s="129">
        <f>850+20+1200</f>
        <v>2070</v>
      </c>
      <c r="I59" s="129">
        <f>850+20+1200</f>
        <v>2070</v>
      </c>
    </row>
    <row r="60" spans="1:9" ht="12.75">
      <c r="A60" s="301"/>
      <c r="B60" s="72">
        <v>57</v>
      </c>
      <c r="C60" s="6"/>
      <c r="D60" s="131" t="s">
        <v>164</v>
      </c>
      <c r="E60" s="68" t="s">
        <v>150</v>
      </c>
      <c r="F60" s="106"/>
      <c r="G60" s="129">
        <v>0</v>
      </c>
      <c r="H60" s="129">
        <v>0</v>
      </c>
      <c r="I60" s="129">
        <v>0</v>
      </c>
    </row>
    <row r="61" spans="1:10" ht="12.75">
      <c r="A61" s="302"/>
      <c r="B61" s="6">
        <v>58</v>
      </c>
      <c r="C61" s="6"/>
      <c r="D61" s="6">
        <v>3612</v>
      </c>
      <c r="E61" s="280" t="s">
        <v>142</v>
      </c>
      <c r="F61" s="267"/>
      <c r="G61" s="129">
        <v>1500</v>
      </c>
      <c r="H61" s="129">
        <v>2000</v>
      </c>
      <c r="I61" s="129">
        <v>2000</v>
      </c>
      <c r="J61" s="119"/>
    </row>
    <row r="62" spans="1:14" ht="12.75">
      <c r="A62" s="302"/>
      <c r="B62" s="6">
        <v>59</v>
      </c>
      <c r="C62" s="6"/>
      <c r="D62" s="6">
        <v>3634</v>
      </c>
      <c r="E62" s="280" t="s">
        <v>141</v>
      </c>
      <c r="F62" s="267"/>
      <c r="G62" s="129">
        <v>1000</v>
      </c>
      <c r="H62" s="125">
        <f>1000+350</f>
        <v>1350</v>
      </c>
      <c r="I62" s="129">
        <f>1000+350</f>
        <v>1350</v>
      </c>
      <c r="J62" s="119"/>
      <c r="N62" s="134"/>
    </row>
    <row r="63" spans="1:10" ht="12.75">
      <c r="A63" s="302"/>
      <c r="B63" s="324">
        <v>60</v>
      </c>
      <c r="C63" s="325" t="s">
        <v>185</v>
      </c>
      <c r="D63" s="325"/>
      <c r="E63" s="150" t="s">
        <v>201</v>
      </c>
      <c r="F63" s="151"/>
      <c r="G63" s="281">
        <f>21850-3399-1000-2000-370</f>
        <v>15081</v>
      </c>
      <c r="H63" s="322">
        <v>15795</v>
      </c>
      <c r="I63" s="322">
        <v>15795</v>
      </c>
      <c r="J63" s="119"/>
    </row>
    <row r="64" spans="1:10" ht="12.75">
      <c r="A64" s="302"/>
      <c r="B64" s="324"/>
      <c r="C64" s="325"/>
      <c r="D64" s="325"/>
      <c r="E64" s="326" t="s">
        <v>209</v>
      </c>
      <c r="F64" s="327"/>
      <c r="G64" s="282"/>
      <c r="H64" s="323"/>
      <c r="I64" s="323"/>
      <c r="J64" s="119"/>
    </row>
    <row r="65" spans="1:10" ht="12.75">
      <c r="A65" s="302"/>
      <c r="B65" s="6">
        <v>61</v>
      </c>
      <c r="C65" s="7"/>
      <c r="D65" s="7">
        <v>3639</v>
      </c>
      <c r="E65" s="68" t="s">
        <v>143</v>
      </c>
      <c r="F65" s="106"/>
      <c r="G65" s="154">
        <v>4000</v>
      </c>
      <c r="H65" s="154">
        <v>4000</v>
      </c>
      <c r="I65" s="154">
        <v>4000</v>
      </c>
      <c r="J65" s="119"/>
    </row>
    <row r="66" spans="1:9" ht="12.75">
      <c r="A66" s="302"/>
      <c r="B66" s="6">
        <v>62</v>
      </c>
      <c r="C66" s="6"/>
      <c r="D66" s="6">
        <v>3612</v>
      </c>
      <c r="E66" s="280" t="s">
        <v>153</v>
      </c>
      <c r="F66" s="305"/>
      <c r="G66" s="247">
        <f>15340-2000+1162</f>
        <v>14502</v>
      </c>
      <c r="H66" s="240">
        <f>14500-2000+1104+1200</f>
        <v>14804</v>
      </c>
      <c r="I66" s="240">
        <f>14500-2000+1104+1200</f>
        <v>14804</v>
      </c>
    </row>
    <row r="67" spans="1:9" ht="12.75">
      <c r="A67" s="302"/>
      <c r="B67" s="6">
        <v>63</v>
      </c>
      <c r="C67" s="6"/>
      <c r="D67" s="6">
        <v>3612</v>
      </c>
      <c r="E67" s="68" t="s">
        <v>163</v>
      </c>
      <c r="F67" s="106"/>
      <c r="G67" s="249"/>
      <c r="H67" s="242"/>
      <c r="I67" s="242"/>
    </row>
    <row r="68" spans="1:9" ht="12.75">
      <c r="A68" s="301"/>
      <c r="B68" s="6">
        <v>64</v>
      </c>
      <c r="C68" s="6"/>
      <c r="D68" s="6">
        <v>3669</v>
      </c>
      <c r="E68" s="274" t="s">
        <v>95</v>
      </c>
      <c r="F68" s="267"/>
      <c r="G68" s="77">
        <v>200</v>
      </c>
      <c r="H68" s="216">
        <v>50</v>
      </c>
      <c r="I68" s="216">
        <v>50</v>
      </c>
    </row>
    <row r="69" spans="1:9" ht="12.75">
      <c r="A69" s="301"/>
      <c r="B69" s="6">
        <v>65</v>
      </c>
      <c r="C69" s="6"/>
      <c r="D69" s="6"/>
      <c r="E69" s="266" t="s">
        <v>61</v>
      </c>
      <c r="F69" s="267"/>
      <c r="G69" s="79">
        <f>SUM(G58:G68)</f>
        <v>37083</v>
      </c>
      <c r="H69" s="79">
        <f>SUM(H58:H68)</f>
        <v>40069</v>
      </c>
      <c r="I69" s="79">
        <f>SUM(I58:I68)</f>
        <v>40069</v>
      </c>
    </row>
    <row r="70" spans="1:9" ht="12.75">
      <c r="A70" s="301"/>
      <c r="B70" s="6">
        <v>66</v>
      </c>
      <c r="C70" s="6" t="s">
        <v>78</v>
      </c>
      <c r="D70" s="6">
        <v>6171</v>
      </c>
      <c r="E70" s="274" t="s">
        <v>79</v>
      </c>
      <c r="F70" s="267"/>
      <c r="G70" s="77">
        <f>370+130</f>
        <v>500</v>
      </c>
      <c r="H70" s="77">
        <v>500</v>
      </c>
      <c r="I70" s="77">
        <v>500</v>
      </c>
    </row>
    <row r="71" spans="1:9" ht="12.75">
      <c r="A71" s="301"/>
      <c r="B71" s="6">
        <v>67</v>
      </c>
      <c r="C71" s="6"/>
      <c r="D71" s="6"/>
      <c r="E71" s="266" t="s">
        <v>79</v>
      </c>
      <c r="F71" s="267"/>
      <c r="G71" s="81">
        <f>SUM(G70)</f>
        <v>500</v>
      </c>
      <c r="H71" s="81">
        <f>SUM(H70)</f>
        <v>500</v>
      </c>
      <c r="I71" s="81">
        <f>SUM(I70)</f>
        <v>500</v>
      </c>
    </row>
    <row r="72" spans="1:9" ht="12.75">
      <c r="A72" s="301"/>
      <c r="B72" s="6">
        <v>68</v>
      </c>
      <c r="C72" s="8"/>
      <c r="D72" s="8"/>
      <c r="E72" s="274"/>
      <c r="F72" s="267"/>
      <c r="G72" s="133"/>
      <c r="H72" s="133"/>
      <c r="I72" s="133"/>
    </row>
    <row r="73" spans="1:9" ht="12.75">
      <c r="A73" s="301"/>
      <c r="B73" s="6">
        <v>69</v>
      </c>
      <c r="C73" s="8"/>
      <c r="D73" s="8"/>
      <c r="E73" s="266" t="s">
        <v>144</v>
      </c>
      <c r="F73" s="321"/>
      <c r="G73" s="117">
        <f>SUM(G72)</f>
        <v>0</v>
      </c>
      <c r="H73" s="117">
        <f>SUM(H72)</f>
        <v>0</v>
      </c>
      <c r="I73" s="117">
        <f>SUM(I72)</f>
        <v>0</v>
      </c>
    </row>
    <row r="74" spans="1:9" ht="13.5" thickBot="1">
      <c r="A74" s="303"/>
      <c r="B74" s="10">
        <v>70</v>
      </c>
      <c r="C74" s="10"/>
      <c r="D74" s="10"/>
      <c r="E74" s="320" t="s">
        <v>55</v>
      </c>
      <c r="F74" s="298"/>
      <c r="G74" s="82">
        <f>G4+G6+G14+G22+G29+G43+G46+G48+G52+G69+G71+G57+G73</f>
        <v>88698</v>
      </c>
      <c r="H74" s="82">
        <f>H4+H6+H14+H22+H29+H43+H46+H48+H52+H69+H71+H57+H73</f>
        <v>91327</v>
      </c>
      <c r="I74" s="82">
        <f>I4+I6+I14+I22+I29+I43+I46+I48+I52+I69+I71+I57+I73</f>
        <v>91122</v>
      </c>
    </row>
    <row r="75" spans="1:9" ht="12.75" customHeight="1">
      <c r="A75" s="237" t="s">
        <v>90</v>
      </c>
      <c r="B75" s="283">
        <v>71</v>
      </c>
      <c r="C75" s="286"/>
      <c r="D75" s="286"/>
      <c r="E75" s="289" t="s">
        <v>111</v>
      </c>
      <c r="F75" s="290"/>
      <c r="G75" s="271">
        <f>31260+40000-1100+210+370</f>
        <v>70740</v>
      </c>
      <c r="H75" s="268">
        <f>54560+6637-150</f>
        <v>61047</v>
      </c>
      <c r="I75" s="262">
        <f>54560+6637-150+7066</f>
        <v>68113</v>
      </c>
    </row>
    <row r="76" spans="1:9" ht="12.75">
      <c r="A76" s="238"/>
      <c r="B76" s="284"/>
      <c r="C76" s="287"/>
      <c r="D76" s="287"/>
      <c r="E76" s="291"/>
      <c r="F76" s="292"/>
      <c r="G76" s="272"/>
      <c r="H76" s="269"/>
      <c r="I76" s="263"/>
    </row>
    <row r="77" spans="1:9" ht="12.75">
      <c r="A77" s="238"/>
      <c r="B77" s="284"/>
      <c r="C77" s="287"/>
      <c r="D77" s="287"/>
      <c r="E77" s="291"/>
      <c r="F77" s="292"/>
      <c r="G77" s="272"/>
      <c r="H77" s="269"/>
      <c r="I77" s="263"/>
    </row>
    <row r="78" spans="1:9" ht="12.75">
      <c r="A78" s="238"/>
      <c r="B78" s="284"/>
      <c r="C78" s="287"/>
      <c r="D78" s="287"/>
      <c r="E78" s="291"/>
      <c r="F78" s="292"/>
      <c r="G78" s="272"/>
      <c r="H78" s="269"/>
      <c r="I78" s="263"/>
    </row>
    <row r="79" spans="1:9" ht="12.75">
      <c r="A79" s="238"/>
      <c r="B79" s="284"/>
      <c r="C79" s="287"/>
      <c r="D79" s="287"/>
      <c r="E79" s="291"/>
      <c r="F79" s="292"/>
      <c r="G79" s="272"/>
      <c r="H79" s="269"/>
      <c r="I79" s="263"/>
    </row>
    <row r="80" spans="1:9" ht="12.75">
      <c r="A80" s="238"/>
      <c r="B80" s="284"/>
      <c r="C80" s="287"/>
      <c r="D80" s="287"/>
      <c r="E80" s="291"/>
      <c r="F80" s="292"/>
      <c r="G80" s="272"/>
      <c r="H80" s="269"/>
      <c r="I80" s="263"/>
    </row>
    <row r="81" spans="1:9" ht="12.75">
      <c r="A81" s="238"/>
      <c r="B81" s="285"/>
      <c r="C81" s="288"/>
      <c r="D81" s="288"/>
      <c r="E81" s="293"/>
      <c r="F81" s="294"/>
      <c r="G81" s="273"/>
      <c r="H81" s="270"/>
      <c r="I81" s="264"/>
    </row>
    <row r="82" spans="1:9" ht="12.75">
      <c r="A82" s="238"/>
      <c r="B82" s="6">
        <v>72</v>
      </c>
      <c r="C82" s="6"/>
      <c r="D82" s="6"/>
      <c r="E82" s="231"/>
      <c r="F82" s="267"/>
      <c r="G82" s="85"/>
      <c r="H82" s="85"/>
      <c r="I82" s="85"/>
    </row>
    <row r="83" spans="1:9" ht="12.75">
      <c r="A83" s="238"/>
      <c r="B83" s="6">
        <v>73</v>
      </c>
      <c r="C83" s="6"/>
      <c r="D83" s="6"/>
      <c r="E83" s="231"/>
      <c r="F83" s="267"/>
      <c r="G83" s="85"/>
      <c r="H83" s="85"/>
      <c r="I83" s="85"/>
    </row>
    <row r="84" spans="1:9" ht="13.5" thickBot="1">
      <c r="A84" s="299"/>
      <c r="B84" s="10">
        <v>74</v>
      </c>
      <c r="C84" s="10"/>
      <c r="D84" s="10"/>
      <c r="E84" s="297" t="s">
        <v>56</v>
      </c>
      <c r="F84" s="298"/>
      <c r="G84" s="83">
        <f>SUM(G75:G83)</f>
        <v>70740</v>
      </c>
      <c r="H84" s="83">
        <f>SUM(H75:H83)</f>
        <v>61047</v>
      </c>
      <c r="I84" s="83">
        <f>SUM(I75:I83)</f>
        <v>68113</v>
      </c>
    </row>
    <row r="85" spans="1:9" ht="13.5" thickBot="1">
      <c r="A85" s="48"/>
      <c r="B85" s="49">
        <v>75</v>
      </c>
      <c r="C85" s="49"/>
      <c r="D85" s="49"/>
      <c r="E85" s="295" t="s">
        <v>68</v>
      </c>
      <c r="F85" s="296"/>
      <c r="G85" s="84">
        <f>G74+G84</f>
        <v>159438</v>
      </c>
      <c r="H85" s="84">
        <f>H74+H84</f>
        <v>152374</v>
      </c>
      <c r="I85" s="84">
        <f>I74+I84</f>
        <v>159235</v>
      </c>
    </row>
    <row r="86" ht="12.75">
      <c r="F86" s="58"/>
    </row>
    <row r="87" ht="12.75">
      <c r="F87" s="58" t="s">
        <v>93</v>
      </c>
    </row>
  </sheetData>
  <mergeCells count="92">
    <mergeCell ref="H63:H64"/>
    <mergeCell ref="I63:I64"/>
    <mergeCell ref="B63:B64"/>
    <mergeCell ref="C63:D64"/>
    <mergeCell ref="E64:F64"/>
    <mergeCell ref="H66:H67"/>
    <mergeCell ref="E74:F74"/>
    <mergeCell ref="E72:F72"/>
    <mergeCell ref="E68:F68"/>
    <mergeCell ref="E70:F70"/>
    <mergeCell ref="E73:F73"/>
    <mergeCell ref="G66:G67"/>
    <mergeCell ref="E32:F32"/>
    <mergeCell ref="E47:F47"/>
    <mergeCell ref="E69:F69"/>
    <mergeCell ref="E49:F49"/>
    <mergeCell ref="E55:F55"/>
    <mergeCell ref="E52:F52"/>
    <mergeCell ref="E48:F48"/>
    <mergeCell ref="E51:F51"/>
    <mergeCell ref="E42:F42"/>
    <mergeCell ref="E43:F43"/>
    <mergeCell ref="B27:B28"/>
    <mergeCell ref="C27:C28"/>
    <mergeCell ref="D27:D28"/>
    <mergeCell ref="E27:E28"/>
    <mergeCell ref="E45:F45"/>
    <mergeCell ref="E34:F34"/>
    <mergeCell ref="E41:F41"/>
    <mergeCell ref="E38:F38"/>
    <mergeCell ref="E35:F35"/>
    <mergeCell ref="E39:F39"/>
    <mergeCell ref="E36:F36"/>
    <mergeCell ref="E37:F37"/>
    <mergeCell ref="A1:E1"/>
    <mergeCell ref="E2:F2"/>
    <mergeCell ref="E9:F9"/>
    <mergeCell ref="E10:F10"/>
    <mergeCell ref="E3:F3"/>
    <mergeCell ref="E6:F6"/>
    <mergeCell ref="E7:F7"/>
    <mergeCell ref="E5:F5"/>
    <mergeCell ref="E4:F4"/>
    <mergeCell ref="E8:F8"/>
    <mergeCell ref="E23:F23"/>
    <mergeCell ref="E31:F31"/>
    <mergeCell ref="E12:F12"/>
    <mergeCell ref="E13:F13"/>
    <mergeCell ref="E15:F15"/>
    <mergeCell ref="E14:F14"/>
    <mergeCell ref="E22:F22"/>
    <mergeCell ref="E26:F26"/>
    <mergeCell ref="E25:F25"/>
    <mergeCell ref="E24:F24"/>
    <mergeCell ref="A75:A84"/>
    <mergeCell ref="A3:A74"/>
    <mergeCell ref="E16:F16"/>
    <mergeCell ref="E17:F17"/>
    <mergeCell ref="E18:F18"/>
    <mergeCell ref="E19:F19"/>
    <mergeCell ref="E20:F20"/>
    <mergeCell ref="E11:F11"/>
    <mergeCell ref="E66:F66"/>
    <mergeCell ref="E40:F40"/>
    <mergeCell ref="E85:F85"/>
    <mergeCell ref="E82:F82"/>
    <mergeCell ref="E84:F84"/>
    <mergeCell ref="E83:F83"/>
    <mergeCell ref="B75:B81"/>
    <mergeCell ref="C75:C81"/>
    <mergeCell ref="D75:D81"/>
    <mergeCell ref="E75:F81"/>
    <mergeCell ref="E58:F58"/>
    <mergeCell ref="E54:F54"/>
    <mergeCell ref="I66:I67"/>
    <mergeCell ref="E50:F50"/>
    <mergeCell ref="E56:F56"/>
    <mergeCell ref="E57:F57"/>
    <mergeCell ref="E59:F59"/>
    <mergeCell ref="E62:F62"/>
    <mergeCell ref="E61:F61"/>
    <mergeCell ref="G63:G64"/>
    <mergeCell ref="I75:I81"/>
    <mergeCell ref="F1:I1"/>
    <mergeCell ref="E29:F29"/>
    <mergeCell ref="E33:F33"/>
    <mergeCell ref="H75:H81"/>
    <mergeCell ref="E71:F71"/>
    <mergeCell ref="G75:G81"/>
    <mergeCell ref="E44:F44"/>
    <mergeCell ref="E46:F46"/>
    <mergeCell ref="E53:F53"/>
  </mergeCells>
  <printOptions/>
  <pageMargins left="0.19" right="0" top="0.3937007874015748" bottom="0" header="0.5118110236220472" footer="0.5118110236220472"/>
  <pageSetup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="75" zoomScaleNormal="75" workbookViewId="0" topLeftCell="A34">
      <selection activeCell="D79" sqref="D79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5.875" style="0" customWidth="1"/>
    <col min="4" max="4" width="55.625" style="0" customWidth="1"/>
    <col min="5" max="6" width="16.375" style="0" customWidth="1"/>
    <col min="7" max="7" width="20.25390625" style="0" customWidth="1"/>
    <col min="8" max="8" width="17.625" style="0" customWidth="1"/>
  </cols>
  <sheetData>
    <row r="1" ht="12.75"/>
    <row r="2" spans="1:4" ht="15.75">
      <c r="A2" s="332" t="s">
        <v>251</v>
      </c>
      <c r="B2" s="332"/>
      <c r="C2" s="332"/>
      <c r="D2" s="332"/>
    </row>
    <row r="3" spans="1:7" ht="16.5" thickBot="1">
      <c r="A3" s="31"/>
      <c r="B3" s="31"/>
      <c r="C3" s="31"/>
      <c r="D3" s="31"/>
      <c r="E3" s="243" t="s">
        <v>249</v>
      </c>
      <c r="F3" s="243"/>
      <c r="G3" s="243"/>
    </row>
    <row r="4" spans="1:7" ht="24.75" thickBot="1">
      <c r="A4" s="18" t="s">
        <v>27</v>
      </c>
      <c r="B4" s="15" t="s">
        <v>1</v>
      </c>
      <c r="C4" s="15" t="s">
        <v>0</v>
      </c>
      <c r="D4" s="15" t="s">
        <v>2</v>
      </c>
      <c r="E4" s="91" t="s">
        <v>203</v>
      </c>
      <c r="F4" s="91" t="s">
        <v>247</v>
      </c>
      <c r="G4" s="91" t="s">
        <v>252</v>
      </c>
    </row>
    <row r="5" spans="1:7" ht="12.75">
      <c r="A5" s="16">
        <v>1</v>
      </c>
      <c r="B5" s="9">
        <v>8115</v>
      </c>
      <c r="C5" s="9"/>
      <c r="D5" s="21" t="s">
        <v>86</v>
      </c>
      <c r="E5" s="166">
        <v>-230</v>
      </c>
      <c r="F5" s="166">
        <v>-230</v>
      </c>
      <c r="G5" s="166">
        <v>-230</v>
      </c>
    </row>
    <row r="6" spans="1:7" ht="12.75">
      <c r="A6" s="17">
        <v>2</v>
      </c>
      <c r="B6" s="6">
        <v>8115</v>
      </c>
      <c r="C6" s="6"/>
      <c r="D6" s="66" t="s">
        <v>73</v>
      </c>
      <c r="E6" s="127">
        <f>28000-5000+1571+17966</f>
        <v>42537</v>
      </c>
      <c r="F6" s="218">
        <f>17700+1143+200</f>
        <v>19043</v>
      </c>
      <c r="G6" s="127">
        <f>17700+1143+200+1091</f>
        <v>20134</v>
      </c>
    </row>
    <row r="7" spans="1:7" ht="12.75">
      <c r="A7" s="17">
        <v>3</v>
      </c>
      <c r="B7" s="6">
        <v>8115</v>
      </c>
      <c r="C7" s="6"/>
      <c r="D7" s="2" t="s">
        <v>107</v>
      </c>
      <c r="E7" s="130">
        <v>3360</v>
      </c>
      <c r="F7" s="130">
        <v>3237</v>
      </c>
      <c r="G7" s="130">
        <v>3237</v>
      </c>
    </row>
    <row r="8" spans="1:7" ht="12.75">
      <c r="A8" s="17">
        <v>4</v>
      </c>
      <c r="B8" s="6">
        <v>8115</v>
      </c>
      <c r="C8" s="2"/>
      <c r="D8" s="2" t="s">
        <v>104</v>
      </c>
      <c r="E8" s="146">
        <v>0</v>
      </c>
      <c r="F8" s="146">
        <v>0</v>
      </c>
      <c r="G8" s="146">
        <v>0</v>
      </c>
    </row>
    <row r="9" spans="1:7" s="63" customFormat="1" ht="12.75" customHeight="1">
      <c r="A9" s="59">
        <v>5</v>
      </c>
      <c r="B9" s="60">
        <v>8115</v>
      </c>
      <c r="C9" s="61"/>
      <c r="D9" s="62" t="s">
        <v>105</v>
      </c>
      <c r="E9" s="147">
        <v>0</v>
      </c>
      <c r="F9" s="147">
        <v>0</v>
      </c>
      <c r="G9" s="147">
        <v>0</v>
      </c>
    </row>
    <row r="10" spans="1:7" ht="12.75">
      <c r="A10" s="17">
        <v>6</v>
      </c>
      <c r="B10" s="6">
        <v>8115</v>
      </c>
      <c r="C10" s="2"/>
      <c r="D10" s="3" t="s">
        <v>241</v>
      </c>
      <c r="E10" s="130">
        <v>-350</v>
      </c>
      <c r="F10" s="127">
        <f>-350+350</f>
        <v>0</v>
      </c>
      <c r="G10" s="130">
        <f>-350+350</f>
        <v>0</v>
      </c>
    </row>
    <row r="11" spans="1:7" ht="12.75">
      <c r="A11" s="17">
        <v>7</v>
      </c>
      <c r="B11" s="6">
        <v>8115</v>
      </c>
      <c r="C11" s="2"/>
      <c r="D11" s="2" t="s">
        <v>129</v>
      </c>
      <c r="E11" s="45">
        <v>0</v>
      </c>
      <c r="F11" s="45">
        <v>0</v>
      </c>
      <c r="G11" s="45">
        <v>0</v>
      </c>
    </row>
    <row r="12" spans="1:7" ht="12.75">
      <c r="A12" s="17">
        <v>8</v>
      </c>
      <c r="B12" s="6">
        <v>8115</v>
      </c>
      <c r="C12" s="2"/>
      <c r="D12" s="115" t="s">
        <v>236</v>
      </c>
      <c r="E12" s="155">
        <f>-11740-11358</f>
        <v>-23098</v>
      </c>
      <c r="F12" s="155">
        <f>-15740-2177</f>
        <v>-17917</v>
      </c>
      <c r="G12" s="228">
        <f>-15740-2177</f>
        <v>-17917</v>
      </c>
    </row>
    <row r="13" spans="1:7" ht="12.75">
      <c r="A13" s="17">
        <v>9</v>
      </c>
      <c r="B13" s="6">
        <v>8115</v>
      </c>
      <c r="C13" s="2"/>
      <c r="D13" s="67" t="s">
        <v>221</v>
      </c>
      <c r="E13" s="127">
        <v>-788</v>
      </c>
      <c r="F13" s="130">
        <v>0</v>
      </c>
      <c r="G13" s="130">
        <v>0</v>
      </c>
    </row>
    <row r="14" spans="1:7" ht="12.75">
      <c r="A14" s="17">
        <v>10</v>
      </c>
      <c r="B14" s="6">
        <v>8124</v>
      </c>
      <c r="C14" s="2"/>
      <c r="D14" s="2" t="s">
        <v>117</v>
      </c>
      <c r="E14" s="146">
        <v>0</v>
      </c>
      <c r="F14" s="130">
        <v>0</v>
      </c>
      <c r="G14" s="130">
        <v>0</v>
      </c>
    </row>
    <row r="15" spans="1:7" ht="12.75">
      <c r="A15" s="17">
        <v>11</v>
      </c>
      <c r="B15" s="6">
        <v>8115</v>
      </c>
      <c r="C15" s="2"/>
      <c r="D15" s="2" t="s">
        <v>150</v>
      </c>
      <c r="E15" s="127">
        <v>-150</v>
      </c>
      <c r="F15" s="130">
        <v>-13</v>
      </c>
      <c r="G15" s="130">
        <v>-13</v>
      </c>
    </row>
    <row r="16" spans="1:7" ht="12.75">
      <c r="A16" s="17">
        <v>12</v>
      </c>
      <c r="B16" s="6">
        <v>8124</v>
      </c>
      <c r="C16" s="2"/>
      <c r="D16" s="2" t="s">
        <v>118</v>
      </c>
      <c r="E16" s="146">
        <v>0</v>
      </c>
      <c r="F16" s="130">
        <v>0</v>
      </c>
      <c r="G16" s="130">
        <v>0</v>
      </c>
    </row>
    <row r="17" spans="1:7" ht="12.75">
      <c r="A17" s="17">
        <v>13</v>
      </c>
      <c r="B17" s="6">
        <v>8113</v>
      </c>
      <c r="C17" s="2"/>
      <c r="D17" s="2" t="s">
        <v>131</v>
      </c>
      <c r="E17" s="146">
        <v>0</v>
      </c>
      <c r="F17" s="130">
        <v>0</v>
      </c>
      <c r="G17" s="130">
        <v>0</v>
      </c>
    </row>
    <row r="18" spans="1:7" ht="12.75">
      <c r="A18" s="17">
        <v>14</v>
      </c>
      <c r="B18" s="6">
        <v>8114</v>
      </c>
      <c r="C18" s="2"/>
      <c r="D18" s="2" t="s">
        <v>132</v>
      </c>
      <c r="E18" s="146">
        <v>0</v>
      </c>
      <c r="F18" s="130">
        <v>0</v>
      </c>
      <c r="G18" s="130">
        <v>0</v>
      </c>
    </row>
    <row r="19" spans="1:7" ht="12.75">
      <c r="A19" s="17">
        <v>15</v>
      </c>
      <c r="B19" s="131">
        <v>8124</v>
      </c>
      <c r="C19" s="132"/>
      <c r="D19" s="132" t="s">
        <v>184</v>
      </c>
      <c r="E19" s="130">
        <f>-3245-1061-1044</f>
        <v>-5350</v>
      </c>
      <c r="F19" s="130">
        <v>-4378</v>
      </c>
      <c r="G19" s="130">
        <v>-4378</v>
      </c>
    </row>
    <row r="20" spans="1:7" ht="12.75">
      <c r="A20" s="17">
        <v>16</v>
      </c>
      <c r="B20" s="131">
        <v>8124</v>
      </c>
      <c r="C20" s="132"/>
      <c r="D20" s="132" t="s">
        <v>109</v>
      </c>
      <c r="E20" s="146">
        <v>0</v>
      </c>
      <c r="F20" s="130">
        <v>0</v>
      </c>
      <c r="G20" s="130">
        <v>0</v>
      </c>
    </row>
    <row r="21" spans="1:7" ht="12.75">
      <c r="A21" s="17">
        <v>17</v>
      </c>
      <c r="B21" s="131">
        <v>8124</v>
      </c>
      <c r="C21" s="132"/>
      <c r="D21" s="132" t="s">
        <v>116</v>
      </c>
      <c r="E21" s="146">
        <v>0</v>
      </c>
      <c r="F21" s="130">
        <v>0</v>
      </c>
      <c r="G21" s="130">
        <v>0</v>
      </c>
    </row>
    <row r="22" spans="1:7" ht="12.75">
      <c r="A22" s="17">
        <v>18</v>
      </c>
      <c r="B22" s="167">
        <v>8124</v>
      </c>
      <c r="C22" s="168"/>
      <c r="D22" s="168" t="s">
        <v>202</v>
      </c>
      <c r="E22" s="152">
        <v>-17966</v>
      </c>
      <c r="F22" s="174">
        <v>0</v>
      </c>
      <c r="G22" s="174">
        <v>0</v>
      </c>
    </row>
    <row r="23" spans="1:7" ht="12.75">
      <c r="A23" s="94">
        <v>19</v>
      </c>
      <c r="B23" s="8">
        <v>8115</v>
      </c>
      <c r="C23" s="95"/>
      <c r="D23" s="168" t="s">
        <v>212</v>
      </c>
      <c r="E23" s="174">
        <v>0</v>
      </c>
      <c r="F23" s="152">
        <f>-18-286</f>
        <v>-304</v>
      </c>
      <c r="G23" s="174">
        <f>-18-286</f>
        <v>-304</v>
      </c>
    </row>
    <row r="24" spans="1:7" ht="12.75">
      <c r="A24" s="94">
        <v>20</v>
      </c>
      <c r="B24" s="8">
        <v>8123</v>
      </c>
      <c r="C24" s="95"/>
      <c r="D24" s="176" t="s">
        <v>214</v>
      </c>
      <c r="E24" s="148"/>
      <c r="F24" s="174">
        <v>0</v>
      </c>
      <c r="G24" s="174">
        <v>0</v>
      </c>
    </row>
    <row r="25" spans="1:7" ht="13.5" thickBot="1">
      <c r="A25" s="39">
        <v>21</v>
      </c>
      <c r="B25" s="10"/>
      <c r="C25" s="40"/>
      <c r="D25" s="40"/>
      <c r="E25" s="149"/>
      <c r="F25" s="149"/>
      <c r="G25" s="149"/>
    </row>
    <row r="26" spans="1:7" ht="13.5" thickBot="1">
      <c r="A26" s="18">
        <v>22</v>
      </c>
      <c r="B26" s="15"/>
      <c r="C26" s="13"/>
      <c r="D26" s="14" t="s">
        <v>72</v>
      </c>
      <c r="E26" s="41">
        <f>SUM(E5:E25)</f>
        <v>-2035</v>
      </c>
      <c r="F26" s="41">
        <f>SUM(F5:F25)</f>
        <v>-562</v>
      </c>
      <c r="G26" s="41">
        <f>SUM(G5:G25)</f>
        <v>529</v>
      </c>
    </row>
    <row r="27" ht="12.75"/>
    <row r="28" ht="13.5" thickBot="1"/>
    <row r="29" spans="4:7" ht="12.75">
      <c r="D29" s="22" t="s">
        <v>58</v>
      </c>
      <c r="E29" s="23">
        <f>'příjmy 2017'!H89</f>
        <v>98375</v>
      </c>
      <c r="F29" s="23">
        <f>'příjmy 2017'!I89</f>
        <v>102159</v>
      </c>
      <c r="G29" s="23">
        <f>'příjmy 2017'!J89</f>
        <v>103729</v>
      </c>
    </row>
    <row r="30" spans="4:7" ht="12.75">
      <c r="D30" s="24" t="s">
        <v>59</v>
      </c>
      <c r="E30" s="25">
        <f>'výdaje 2017'!G85</f>
        <v>159438</v>
      </c>
      <c r="F30" s="25">
        <f>'výdaje 2017'!H85</f>
        <v>152374</v>
      </c>
      <c r="G30" s="25">
        <f>'výdaje 2017'!I85</f>
        <v>159235</v>
      </c>
    </row>
    <row r="31" spans="4:7" ht="12.75">
      <c r="D31" s="24" t="s">
        <v>77</v>
      </c>
      <c r="E31" s="19">
        <f>E29-E30</f>
        <v>-61063</v>
      </c>
      <c r="F31" s="19">
        <f>F29-F30</f>
        <v>-50215</v>
      </c>
      <c r="G31" s="19">
        <f>G29-G30</f>
        <v>-55506</v>
      </c>
    </row>
    <row r="32" spans="4:7" ht="13.5" thickBot="1">
      <c r="D32" s="26" t="s">
        <v>60</v>
      </c>
      <c r="E32" s="27">
        <f>E26</f>
        <v>-2035</v>
      </c>
      <c r="F32" s="27">
        <f>F26</f>
        <v>-562</v>
      </c>
      <c r="G32" s="27">
        <f>G26</f>
        <v>529</v>
      </c>
    </row>
    <row r="35" spans="4:7" ht="12.75">
      <c r="D35" s="122" t="s">
        <v>155</v>
      </c>
      <c r="E35">
        <f>E31+E32</f>
        <v>-63098</v>
      </c>
      <c r="F35">
        <f>F31+F32</f>
        <v>-50777</v>
      </c>
      <c r="G35">
        <f>G31+G32</f>
        <v>-54977</v>
      </c>
    </row>
    <row r="38" spans="1:10" s="86" customFormat="1" ht="14.25">
      <c r="A38" s="1"/>
      <c r="B38" s="93"/>
      <c r="D38" s="120" t="s">
        <v>154</v>
      </c>
      <c r="E38" s="116">
        <v>23098</v>
      </c>
      <c r="F38" s="116">
        <v>10777</v>
      </c>
      <c r="G38" s="229">
        <f>10777+4200</f>
        <v>14977</v>
      </c>
      <c r="J38" s="123"/>
    </row>
    <row r="39" spans="1:7" s="86" customFormat="1" ht="14.25">
      <c r="A39" s="1"/>
      <c r="B39" s="1"/>
      <c r="D39" s="136" t="s">
        <v>176</v>
      </c>
      <c r="E39" s="160">
        <v>40000</v>
      </c>
      <c r="F39" s="160">
        <v>40000</v>
      </c>
      <c r="G39" s="160">
        <v>40000</v>
      </c>
    </row>
    <row r="40" spans="1:7" s="86" customFormat="1" ht="12.75">
      <c r="A40" s="90"/>
      <c r="B40" s="90"/>
      <c r="C40" s="90"/>
      <c r="D40" s="121" t="s">
        <v>145</v>
      </c>
      <c r="E40" s="118">
        <f>SUM(E35:E39)</f>
        <v>0</v>
      </c>
      <c r="F40" s="118">
        <f>SUM(F35:F39)</f>
        <v>0</v>
      </c>
      <c r="G40" s="118">
        <f>SUM(G35:G39)</f>
        <v>0</v>
      </c>
    </row>
    <row r="41" spans="1:7" s="86" customFormat="1" ht="12.75" customHeight="1">
      <c r="A41" s="88"/>
      <c r="B41" s="109"/>
      <c r="C41" s="110"/>
      <c r="D41" s="114"/>
      <c r="E41" s="92"/>
      <c r="F41" s="92"/>
      <c r="G41" s="92"/>
    </row>
    <row r="42" spans="1:7" s="86" customFormat="1" ht="14.25">
      <c r="A42" s="88" t="s">
        <v>188</v>
      </c>
      <c r="B42" s="111"/>
      <c r="C42" s="110"/>
      <c r="D42" s="110"/>
      <c r="E42" s="92"/>
      <c r="F42" s="92"/>
      <c r="G42" s="92"/>
    </row>
    <row r="43" spans="1:7" s="86" customFormat="1" ht="15" thickBot="1">
      <c r="A43" s="88"/>
      <c r="B43" s="111"/>
      <c r="C43" s="110"/>
      <c r="D43" s="110"/>
      <c r="E43" s="92"/>
      <c r="F43" s="92"/>
      <c r="G43" s="92"/>
    </row>
    <row r="44" spans="1:6" s="86" customFormat="1" ht="15" thickBot="1">
      <c r="A44" s="88"/>
      <c r="B44" s="111"/>
      <c r="C44" s="330" t="s">
        <v>179</v>
      </c>
      <c r="D44" s="331"/>
      <c r="E44" s="156" t="s">
        <v>168</v>
      </c>
      <c r="F44" s="92"/>
    </row>
    <row r="45" spans="1:6" s="86" customFormat="1" ht="15">
      <c r="A45" s="88"/>
      <c r="B45" s="111"/>
      <c r="C45" s="157">
        <v>26</v>
      </c>
      <c r="D45" s="182" t="s">
        <v>242</v>
      </c>
      <c r="E45" s="143">
        <v>1000</v>
      </c>
      <c r="F45" s="92"/>
    </row>
    <row r="46" spans="1:6" s="86" customFormat="1" ht="15">
      <c r="A46" s="88"/>
      <c r="B46" s="111"/>
      <c r="C46" s="157">
        <v>30</v>
      </c>
      <c r="D46" s="182" t="s">
        <v>231</v>
      </c>
      <c r="E46" s="159">
        <v>1200</v>
      </c>
      <c r="F46" s="92"/>
    </row>
    <row r="47" spans="1:6" s="86" customFormat="1" ht="15">
      <c r="A47" s="88"/>
      <c r="B47" s="111"/>
      <c r="C47" s="157">
        <v>31</v>
      </c>
      <c r="D47" s="183" t="s">
        <v>243</v>
      </c>
      <c r="E47" s="184">
        <v>900</v>
      </c>
      <c r="F47" s="92"/>
    </row>
    <row r="48" spans="1:6" s="86" customFormat="1" ht="15">
      <c r="A48" s="88"/>
      <c r="B48" s="111"/>
      <c r="C48" s="157">
        <v>32</v>
      </c>
      <c r="D48" s="183" t="s">
        <v>244</v>
      </c>
      <c r="E48" s="184">
        <v>500</v>
      </c>
      <c r="F48" s="92"/>
    </row>
    <row r="49" spans="1:6" s="86" customFormat="1" ht="15">
      <c r="A49" s="88"/>
      <c r="B49" s="111"/>
      <c r="C49" s="157">
        <v>44</v>
      </c>
      <c r="D49" s="217" t="s">
        <v>180</v>
      </c>
      <c r="E49" s="184">
        <v>2700</v>
      </c>
      <c r="F49" s="92"/>
    </row>
    <row r="50" spans="1:6" s="86" customFormat="1" ht="15">
      <c r="A50" s="88"/>
      <c r="B50" s="111"/>
      <c r="C50" s="157">
        <v>48</v>
      </c>
      <c r="D50" s="217" t="s">
        <v>229</v>
      </c>
      <c r="E50" s="184">
        <v>500</v>
      </c>
      <c r="F50" s="92"/>
    </row>
    <row r="51" spans="1:6" s="86" customFormat="1" ht="15">
      <c r="A51" s="88"/>
      <c r="B51" s="111"/>
      <c r="C51" s="157">
        <v>50</v>
      </c>
      <c r="D51" s="217" t="s">
        <v>189</v>
      </c>
      <c r="E51" s="184">
        <f>3600-1423</f>
        <v>2177</v>
      </c>
      <c r="F51" s="92"/>
    </row>
    <row r="52" spans="1:6" s="86" customFormat="1" ht="15">
      <c r="A52" s="88"/>
      <c r="B52" s="111"/>
      <c r="C52" s="225">
        <v>51</v>
      </c>
      <c r="D52" s="226" t="s">
        <v>230</v>
      </c>
      <c r="E52" s="227">
        <v>800</v>
      </c>
      <c r="F52" s="92"/>
    </row>
    <row r="53" spans="1:6" s="86" customFormat="1" ht="14.25">
      <c r="A53" s="88"/>
      <c r="B53" s="111"/>
      <c r="C53" s="225">
        <v>68</v>
      </c>
      <c r="D53" s="226" t="s">
        <v>177</v>
      </c>
      <c r="E53" s="328">
        <v>4200</v>
      </c>
      <c r="F53" s="92"/>
    </row>
    <row r="54" spans="1:6" s="86" customFormat="1" ht="14.25">
      <c r="A54" s="88"/>
      <c r="B54" s="111"/>
      <c r="C54" s="225">
        <v>69</v>
      </c>
      <c r="D54" s="226" t="s">
        <v>178</v>
      </c>
      <c r="E54" s="329"/>
      <c r="F54" s="92"/>
    </row>
    <row r="55" spans="1:6" s="86" customFormat="1" ht="15.75" thickBot="1">
      <c r="A55" s="88"/>
      <c r="B55" s="111"/>
      <c r="C55" s="158">
        <v>81</v>
      </c>
      <c r="D55" s="183" t="s">
        <v>245</v>
      </c>
      <c r="E55" s="144">
        <v>1000</v>
      </c>
      <c r="F55" s="92"/>
    </row>
    <row r="56" spans="1:6" s="86" customFormat="1" ht="15.75" thickBot="1">
      <c r="A56" s="88"/>
      <c r="B56" s="111"/>
      <c r="C56" s="346" t="s">
        <v>175</v>
      </c>
      <c r="D56" s="347"/>
      <c r="E56" s="230">
        <f>SUM(E45:E55)</f>
        <v>14977</v>
      </c>
      <c r="F56" s="92"/>
    </row>
    <row r="57" spans="1:7" s="86" customFormat="1" ht="14.25">
      <c r="A57" s="88"/>
      <c r="B57" s="111"/>
      <c r="C57" s="110"/>
      <c r="D57" s="110"/>
      <c r="E57" s="92"/>
      <c r="F57" s="92"/>
      <c r="G57" s="92"/>
    </row>
    <row r="58" spans="1:7" s="86" customFormat="1" ht="14.25">
      <c r="A58" s="88"/>
      <c r="B58" s="111"/>
      <c r="C58" s="110"/>
      <c r="D58" s="110"/>
      <c r="E58" s="92"/>
      <c r="F58" s="92"/>
      <c r="G58" s="92"/>
    </row>
    <row r="59" spans="1:7" s="86" customFormat="1" ht="14.25">
      <c r="A59" s="88" t="s">
        <v>222</v>
      </c>
      <c r="B59" s="111"/>
      <c r="C59" s="110"/>
      <c r="D59" s="110"/>
      <c r="E59" s="92"/>
      <c r="F59" s="92"/>
      <c r="G59" s="92"/>
    </row>
    <row r="60" spans="1:7" s="86" customFormat="1" ht="15" thickBot="1">
      <c r="A60" s="89"/>
      <c r="B60" s="112"/>
      <c r="C60" s="92"/>
      <c r="D60" s="113"/>
      <c r="E60" s="92"/>
      <c r="F60" s="92"/>
      <c r="G60" s="92"/>
    </row>
    <row r="61" spans="1:7" s="86" customFormat="1" ht="15.75" customHeight="1">
      <c r="A61" s="89"/>
      <c r="B61" s="351" t="s">
        <v>226</v>
      </c>
      <c r="C61" s="137">
        <v>65</v>
      </c>
      <c r="D61" s="142" t="s">
        <v>169</v>
      </c>
      <c r="E61" s="169">
        <f>4000-2100</f>
        <v>1900</v>
      </c>
      <c r="F61" s="349" t="s">
        <v>181</v>
      </c>
      <c r="G61" s="350"/>
    </row>
    <row r="62" spans="1:7" s="86" customFormat="1" ht="15.75" customHeight="1">
      <c r="A62" s="89"/>
      <c r="B62" s="352"/>
      <c r="C62" s="138">
        <v>66</v>
      </c>
      <c r="D62" s="140" t="s">
        <v>170</v>
      </c>
      <c r="E62" s="170">
        <v>2000</v>
      </c>
      <c r="F62" s="333" t="s">
        <v>181</v>
      </c>
      <c r="G62" s="334"/>
    </row>
    <row r="63" spans="1:7" s="86" customFormat="1" ht="15.75" customHeight="1">
      <c r="A63" s="89"/>
      <c r="B63" s="352"/>
      <c r="C63" s="138">
        <v>67</v>
      </c>
      <c r="D63" s="140" t="s">
        <v>171</v>
      </c>
      <c r="E63" s="170">
        <f>20000+4640</f>
        <v>24640</v>
      </c>
      <c r="F63" s="333" t="s">
        <v>182</v>
      </c>
      <c r="G63" s="334"/>
    </row>
    <row r="64" spans="1:7" s="86" customFormat="1" ht="16.5" customHeight="1">
      <c r="A64" s="89"/>
      <c r="B64" s="352"/>
      <c r="C64" s="138">
        <v>68</v>
      </c>
      <c r="D64" s="141" t="s">
        <v>177</v>
      </c>
      <c r="E64" s="337">
        <v>2000</v>
      </c>
      <c r="F64" s="339" t="s">
        <v>227</v>
      </c>
      <c r="G64" s="340"/>
    </row>
    <row r="65" spans="1:7" s="86" customFormat="1" ht="15.75" customHeight="1">
      <c r="A65" s="89"/>
      <c r="B65" s="352"/>
      <c r="C65" s="138">
        <v>69</v>
      </c>
      <c r="D65" s="141" t="s">
        <v>178</v>
      </c>
      <c r="E65" s="338"/>
      <c r="F65" s="341"/>
      <c r="G65" s="342"/>
    </row>
    <row r="66" spans="1:7" s="86" customFormat="1" ht="16.5" customHeight="1">
      <c r="A66" s="89"/>
      <c r="B66" s="352"/>
      <c r="C66" s="138">
        <v>70</v>
      </c>
      <c r="D66" s="140" t="s">
        <v>172</v>
      </c>
      <c r="E66" s="170">
        <v>3000</v>
      </c>
      <c r="F66" s="333" t="s">
        <v>183</v>
      </c>
      <c r="G66" s="334"/>
    </row>
    <row r="67" spans="1:7" s="86" customFormat="1" ht="16.5" customHeight="1">
      <c r="A67" s="1"/>
      <c r="B67" s="352"/>
      <c r="C67" s="138">
        <v>71</v>
      </c>
      <c r="D67" s="140" t="s">
        <v>173</v>
      </c>
      <c r="E67" s="170">
        <v>0</v>
      </c>
      <c r="F67" s="333" t="s">
        <v>182</v>
      </c>
      <c r="G67" s="334"/>
    </row>
    <row r="68" spans="1:7" s="86" customFormat="1" ht="16.5" customHeight="1">
      <c r="A68" s="1"/>
      <c r="B68" s="352"/>
      <c r="C68" s="138">
        <v>72</v>
      </c>
      <c r="D68" s="180" t="s">
        <v>223</v>
      </c>
      <c r="E68" s="170">
        <v>2000</v>
      </c>
      <c r="F68" s="335" t="s">
        <v>228</v>
      </c>
      <c r="G68" s="336"/>
    </row>
    <row r="69" spans="1:7" s="86" customFormat="1" ht="16.5" customHeight="1">
      <c r="A69" s="1"/>
      <c r="B69" s="352"/>
      <c r="C69" s="138">
        <v>73</v>
      </c>
      <c r="D69" s="180" t="s">
        <v>260</v>
      </c>
      <c r="E69" s="170">
        <f>400+2100</f>
        <v>2500</v>
      </c>
      <c r="F69" s="333" t="s">
        <v>181</v>
      </c>
      <c r="G69" s="334"/>
    </row>
    <row r="70" spans="1:7" s="86" customFormat="1" ht="16.5" customHeight="1">
      <c r="A70" s="1"/>
      <c r="B70" s="352"/>
      <c r="C70" s="138">
        <v>74</v>
      </c>
      <c r="D70" s="181" t="s">
        <v>174</v>
      </c>
      <c r="E70" s="170">
        <v>1500</v>
      </c>
      <c r="F70" s="333" t="s">
        <v>182</v>
      </c>
      <c r="G70" s="334"/>
    </row>
    <row r="71" spans="1:7" s="86" customFormat="1" ht="16.5" customHeight="1">
      <c r="A71" s="1"/>
      <c r="B71" s="352"/>
      <c r="C71" s="138">
        <v>75</v>
      </c>
      <c r="D71" s="181" t="s">
        <v>224</v>
      </c>
      <c r="E71" s="179">
        <v>60</v>
      </c>
      <c r="F71" s="335" t="s">
        <v>228</v>
      </c>
      <c r="G71" s="336"/>
    </row>
    <row r="72" spans="1:7" s="86" customFormat="1" ht="16.5" customHeight="1" thickBot="1">
      <c r="A72" s="1"/>
      <c r="B72" s="353"/>
      <c r="C72" s="139">
        <v>76</v>
      </c>
      <c r="D72" s="181" t="s">
        <v>225</v>
      </c>
      <c r="E72" s="171">
        <v>400</v>
      </c>
      <c r="F72" s="335" t="s">
        <v>228</v>
      </c>
      <c r="G72" s="336"/>
    </row>
    <row r="73" spans="1:8" s="86" customFormat="1" ht="23.25" customHeight="1" thickBot="1">
      <c r="A73" s="1"/>
      <c r="B73" s="346" t="s">
        <v>175</v>
      </c>
      <c r="C73" s="348"/>
      <c r="D73" s="347"/>
      <c r="E73" s="172">
        <f>SUM(E61:E72)</f>
        <v>40000</v>
      </c>
      <c r="F73" s="343"/>
      <c r="G73" s="344"/>
      <c r="H73" s="135"/>
    </row>
    <row r="74" spans="1:8" s="86" customFormat="1" ht="12" customHeight="1">
      <c r="A74" s="1"/>
      <c r="B74" s="1"/>
      <c r="G74" s="135"/>
      <c r="H74" s="135"/>
    </row>
    <row r="75" spans="1:8" s="86" customFormat="1" ht="12" customHeight="1">
      <c r="A75" s="1"/>
      <c r="B75" s="1"/>
      <c r="G75" s="135"/>
      <c r="H75" s="135"/>
    </row>
    <row r="76" spans="1:8" s="86" customFormat="1" ht="12" customHeight="1">
      <c r="A76" s="1"/>
      <c r="B76" s="1"/>
      <c r="F76" s="86" t="s">
        <v>205</v>
      </c>
      <c r="G76" s="135"/>
      <c r="H76" s="135"/>
    </row>
    <row r="77" spans="1:6" s="86" customFormat="1" ht="12.75">
      <c r="A77" s="1"/>
      <c r="B77" s="1"/>
      <c r="F77" s="86" t="s">
        <v>206</v>
      </c>
    </row>
    <row r="78" spans="1:4" s="86" customFormat="1" ht="12.75">
      <c r="A78" s="1"/>
      <c r="B78" s="87"/>
      <c r="C78" s="87"/>
      <c r="D78" s="69" t="s">
        <v>262</v>
      </c>
    </row>
    <row r="80" spans="1:7" ht="12.75">
      <c r="A80" s="345" t="s">
        <v>124</v>
      </c>
      <c r="B80" s="345"/>
      <c r="C80" s="345"/>
      <c r="D80" s="345"/>
      <c r="E80" s="345"/>
      <c r="F80" s="345"/>
      <c r="G80" s="345"/>
    </row>
    <row r="82" ht="12.75">
      <c r="D82" s="69"/>
    </row>
    <row r="83" ht="12.75">
      <c r="B83" s="20"/>
    </row>
    <row r="84" ht="12.75">
      <c r="D84" s="47"/>
    </row>
    <row r="85" ht="12.75">
      <c r="D85" s="47"/>
    </row>
    <row r="86" ht="12.75">
      <c r="D86" s="47"/>
    </row>
    <row r="87" ht="12.75">
      <c r="D87" s="47"/>
    </row>
    <row r="88" ht="12.75">
      <c r="D88" s="47"/>
    </row>
    <row r="91" ht="12.75">
      <c r="D91" s="47"/>
    </row>
  </sheetData>
  <mergeCells count="21">
    <mergeCell ref="F73:G73"/>
    <mergeCell ref="A80:G80"/>
    <mergeCell ref="C56:D56"/>
    <mergeCell ref="B73:D73"/>
    <mergeCell ref="F61:G61"/>
    <mergeCell ref="F62:G62"/>
    <mergeCell ref="F63:G63"/>
    <mergeCell ref="F66:G66"/>
    <mergeCell ref="F67:G67"/>
    <mergeCell ref="B61:B72"/>
    <mergeCell ref="F70:G70"/>
    <mergeCell ref="F72:G72"/>
    <mergeCell ref="E64:E65"/>
    <mergeCell ref="F64:G65"/>
    <mergeCell ref="F68:G68"/>
    <mergeCell ref="F69:G69"/>
    <mergeCell ref="F71:G71"/>
    <mergeCell ref="E53:E54"/>
    <mergeCell ref="C44:D44"/>
    <mergeCell ref="A2:D2"/>
    <mergeCell ref="E3:G3"/>
  </mergeCells>
  <printOptions/>
  <pageMargins left="0.5905511811023623" right="0" top="0.51" bottom="0.43" header="0.5118110236220472" footer="0.5118110236220472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hfoved</cp:lastModifiedBy>
  <cp:lastPrinted>2017-04-11T06:33:12Z</cp:lastPrinted>
  <dcterms:created xsi:type="dcterms:W3CDTF">2003-01-03T12:32:00Z</dcterms:created>
  <dcterms:modified xsi:type="dcterms:W3CDTF">2017-04-11T06:33:21Z</dcterms:modified>
  <cp:category/>
  <cp:version/>
  <cp:contentType/>
  <cp:contentStatus/>
</cp:coreProperties>
</file>